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dibcloud-my.sharepoint.com/personal/mdbouya_adib_com/Documents/"/>
    </mc:Choice>
  </mc:AlternateContent>
  <xr:revisionPtr revIDLastSave="2" documentId="8_{B845DF05-77E5-4242-9F83-F01DE7EAD69A}" xr6:coauthVersionLast="47" xr6:coauthVersionMax="47" xr10:uidLastSave="{C5B152E1-4F49-460F-990E-0F1FD9826519}"/>
  <bookViews>
    <workbookView xWindow="-110" yWindow="-110" windowWidth="19420" windowHeight="10300" xr2:uid="{00000000-000D-0000-FFFF-FFFF00000000}"/>
  </bookViews>
  <sheets>
    <sheet name="Main" sheetId="2" r:id="rId1"/>
    <sheet name="Zakat Report" sheetId="6" r:id="rId2"/>
    <sheet name="Sukuk Details" sheetId="8" state="hidden" r:id="rId3"/>
    <sheet name="Sheet2" sheetId="10" state="hidden" r:id="rId4"/>
    <sheet name="Sheet1" sheetId="9" state="hidden" r:id="rId5"/>
  </sheets>
  <definedNames>
    <definedName name="_xlnm._FilterDatabase" localSheetId="0" hidden="1">Main!$B$6:$E$10</definedName>
    <definedName name="_xlnm._FilterDatabase" localSheetId="2" hidden="1">'Sukuk Details'!$S$3:$S$224</definedName>
    <definedName name="_xlnm.Print_Area" localSheetId="1">'Zakat Report'!$A$1:$H$54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 l="1"/>
  <c r="D15" i="10"/>
  <c r="D68" i="10"/>
  <c r="D108" i="10"/>
  <c r="D135" i="10"/>
  <c r="D158" i="10"/>
  <c r="E11" i="6"/>
  <c r="E42" i="6" s="1"/>
  <c r="V1" i="8"/>
  <c r="W1" i="8" s="1"/>
  <c r="X1" i="8" s="1"/>
  <c r="Y1" i="8" s="1"/>
  <c r="Z1" i="8" s="1"/>
  <c r="AA1" i="8" s="1"/>
  <c r="AB1" i="8" s="1"/>
  <c r="AC1" i="8" s="1"/>
  <c r="AD1" i="8" s="1"/>
  <c r="AE1" i="8" s="1"/>
  <c r="AF1" i="8" s="1"/>
  <c r="AG1" i="8" s="1"/>
  <c r="C50" i="2"/>
  <c r="S224" i="8"/>
  <c r="S223" i="8"/>
  <c r="S222" i="8"/>
  <c r="S221" i="8"/>
  <c r="S220" i="8"/>
  <c r="S219" i="8"/>
  <c r="S218" i="8"/>
  <c r="S217" i="8"/>
  <c r="S216" i="8"/>
  <c r="S215" i="8"/>
  <c r="S214" i="8"/>
  <c r="S213" i="8"/>
  <c r="S212" i="8"/>
  <c r="S211" i="8"/>
  <c r="S210" i="8"/>
  <c r="S209" i="8"/>
  <c r="S208" i="8"/>
  <c r="S207" i="8"/>
  <c r="S206" i="8"/>
  <c r="S205" i="8"/>
  <c r="S204" i="8"/>
  <c r="S203" i="8"/>
  <c r="S202" i="8"/>
  <c r="S201" i="8"/>
  <c r="S200" i="8"/>
  <c r="S199" i="8"/>
  <c r="S198" i="8"/>
  <c r="S197" i="8"/>
  <c r="S196" i="8"/>
  <c r="S195" i="8"/>
  <c r="S194" i="8"/>
  <c r="S193" i="8"/>
  <c r="S192" i="8"/>
  <c r="S191" i="8"/>
  <c r="S190" i="8"/>
  <c r="S189" i="8"/>
  <c r="S188" i="8"/>
  <c r="S187" i="8"/>
  <c r="S186" i="8"/>
  <c r="S185" i="8"/>
  <c r="S184" i="8"/>
  <c r="S183" i="8"/>
  <c r="S182" i="8"/>
  <c r="S181" i="8"/>
  <c r="S180" i="8"/>
  <c r="S179" i="8"/>
  <c r="S178" i="8"/>
  <c r="S177" i="8"/>
  <c r="S176" i="8"/>
  <c r="S175" i="8"/>
  <c r="S174" i="8"/>
  <c r="S173" i="8"/>
  <c r="S172" i="8"/>
  <c r="S171" i="8"/>
  <c r="S170" i="8"/>
  <c r="S169" i="8"/>
  <c r="S168" i="8"/>
  <c r="S167" i="8"/>
  <c r="S166" i="8"/>
  <c r="S165" i="8"/>
  <c r="S164" i="8"/>
  <c r="S163" i="8"/>
  <c r="S162" i="8"/>
  <c r="S161" i="8"/>
  <c r="S160" i="8"/>
  <c r="S159" i="8"/>
  <c r="S158" i="8"/>
  <c r="S157" i="8"/>
  <c r="S156" i="8"/>
  <c r="S155" i="8"/>
  <c r="S154" i="8"/>
  <c r="S153" i="8"/>
  <c r="S152" i="8"/>
  <c r="S151" i="8"/>
  <c r="S150" i="8"/>
  <c r="S149" i="8"/>
  <c r="S148" i="8"/>
  <c r="S147" i="8"/>
  <c r="S146" i="8"/>
  <c r="S145" i="8"/>
  <c r="S144" i="8"/>
  <c r="S143" i="8"/>
  <c r="S142" i="8"/>
  <c r="S141" i="8"/>
  <c r="S140" i="8"/>
  <c r="S139" i="8"/>
  <c r="S138" i="8"/>
  <c r="S137" i="8"/>
  <c r="S136" i="8"/>
  <c r="S135" i="8"/>
  <c r="S134" i="8"/>
  <c r="S133" i="8"/>
  <c r="S132" i="8"/>
  <c r="S131" i="8"/>
  <c r="S130" i="8"/>
  <c r="S129" i="8"/>
  <c r="S128" i="8"/>
  <c r="S127" i="8"/>
  <c r="S126" i="8"/>
  <c r="S125" i="8"/>
  <c r="S124" i="8"/>
  <c r="S123" i="8"/>
  <c r="S122" i="8"/>
  <c r="S121" i="8"/>
  <c r="S120" i="8"/>
  <c r="S119" i="8"/>
  <c r="S118" i="8"/>
  <c r="S117" i="8"/>
  <c r="S116" i="8"/>
  <c r="S115" i="8"/>
  <c r="S114" i="8"/>
  <c r="S113" i="8"/>
  <c r="S112" i="8"/>
  <c r="S111" i="8"/>
  <c r="S110" i="8"/>
  <c r="S109" i="8"/>
  <c r="S108" i="8"/>
  <c r="S107" i="8"/>
  <c r="S106" i="8"/>
  <c r="S105" i="8"/>
  <c r="S104" i="8"/>
  <c r="S103" i="8"/>
  <c r="S102" i="8"/>
  <c r="S101" i="8"/>
  <c r="S100" i="8"/>
  <c r="S99" i="8"/>
  <c r="S98" i="8"/>
  <c r="S97" i="8"/>
  <c r="S96" i="8"/>
  <c r="S95" i="8"/>
  <c r="S94" i="8"/>
  <c r="S93" i="8"/>
  <c r="S92" i="8"/>
  <c r="S91" i="8"/>
  <c r="S90" i="8"/>
  <c r="S89" i="8"/>
  <c r="S88" i="8"/>
  <c r="S87" i="8"/>
  <c r="S86" i="8"/>
  <c r="S85" i="8"/>
  <c r="S84" i="8"/>
  <c r="S83" i="8"/>
  <c r="S82" i="8"/>
  <c r="S81" i="8"/>
  <c r="S80" i="8"/>
  <c r="S79" i="8"/>
  <c r="S78" i="8"/>
  <c r="S77" i="8"/>
  <c r="S76" i="8"/>
  <c r="S75" i="8"/>
  <c r="S74" i="8"/>
  <c r="S73" i="8"/>
  <c r="S72" i="8"/>
  <c r="S71" i="8"/>
  <c r="S70" i="8"/>
  <c r="S69" i="8"/>
  <c r="S68" i="8"/>
  <c r="S67" i="8"/>
  <c r="S66" i="8"/>
  <c r="S65" i="8"/>
  <c r="S64" i="8"/>
  <c r="S63" i="8"/>
  <c r="S62" i="8"/>
  <c r="S61" i="8"/>
  <c r="S60" i="8"/>
  <c r="S59" i="8"/>
  <c r="S58" i="8"/>
  <c r="S57" i="8"/>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1" i="8"/>
  <c r="S10" i="8"/>
  <c r="S9" i="8"/>
  <c r="S8" i="8"/>
  <c r="S7" i="8"/>
  <c r="S6" i="8"/>
  <c r="S5" i="8"/>
  <c r="S4" i="8"/>
  <c r="S3" i="8"/>
  <c r="V224" i="8"/>
  <c r="V223" i="8"/>
  <c r="V222" i="8"/>
  <c r="V221" i="8"/>
  <c r="V220" i="8"/>
  <c r="V219" i="8"/>
  <c r="V218" i="8"/>
  <c r="V217" i="8"/>
  <c r="V216" i="8"/>
  <c r="V215" i="8"/>
  <c r="V214" i="8"/>
  <c r="V213" i="8"/>
  <c r="V212" i="8"/>
  <c r="V211" i="8"/>
  <c r="V210" i="8"/>
  <c r="V209" i="8"/>
  <c r="V208" i="8"/>
  <c r="V207" i="8"/>
  <c r="V206" i="8"/>
  <c r="V205" i="8"/>
  <c r="V204" i="8"/>
  <c r="V203" i="8"/>
  <c r="V202" i="8"/>
  <c r="V201" i="8"/>
  <c r="V200" i="8"/>
  <c r="V199" i="8"/>
  <c r="V198" i="8"/>
  <c r="V197" i="8"/>
  <c r="V196" i="8"/>
  <c r="V195" i="8"/>
  <c r="V194" i="8"/>
  <c r="V193" i="8"/>
  <c r="V192" i="8"/>
  <c r="V191" i="8"/>
  <c r="V190" i="8"/>
  <c r="V189" i="8"/>
  <c r="V188" i="8"/>
  <c r="V187" i="8"/>
  <c r="V186" i="8"/>
  <c r="V185" i="8"/>
  <c r="V184" i="8"/>
  <c r="V183" i="8"/>
  <c r="V182" i="8"/>
  <c r="V181" i="8"/>
  <c r="V180" i="8"/>
  <c r="V179" i="8"/>
  <c r="V178" i="8"/>
  <c r="V177" i="8"/>
  <c r="V176" i="8"/>
  <c r="V175" i="8"/>
  <c r="V174" i="8"/>
  <c r="V173" i="8"/>
  <c r="V172" i="8"/>
  <c r="V171" i="8"/>
  <c r="V170" i="8"/>
  <c r="V169" i="8"/>
  <c r="V168" i="8"/>
  <c r="V167" i="8"/>
  <c r="V166" i="8"/>
  <c r="V165" i="8"/>
  <c r="V164" i="8"/>
  <c r="V163" i="8"/>
  <c r="V162" i="8"/>
  <c r="V161" i="8"/>
  <c r="V160" i="8"/>
  <c r="V159" i="8"/>
  <c r="V158" i="8"/>
  <c r="V157" i="8"/>
  <c r="V156" i="8"/>
  <c r="V155" i="8"/>
  <c r="V154" i="8"/>
  <c r="V153" i="8"/>
  <c r="V152" i="8"/>
  <c r="V151" i="8"/>
  <c r="V150" i="8"/>
  <c r="V149" i="8"/>
  <c r="V148" i="8"/>
  <c r="V147" i="8"/>
  <c r="V146" i="8"/>
  <c r="V145" i="8"/>
  <c r="V144" i="8"/>
  <c r="V143" i="8"/>
  <c r="V142" i="8"/>
  <c r="V141" i="8"/>
  <c r="V140" i="8"/>
  <c r="V139" i="8"/>
  <c r="V138" i="8"/>
  <c r="V137" i="8"/>
  <c r="V136" i="8"/>
  <c r="V135" i="8"/>
  <c r="V134" i="8"/>
  <c r="V133" i="8"/>
  <c r="V132" i="8"/>
  <c r="V131" i="8"/>
  <c r="V130" i="8"/>
  <c r="V129" i="8"/>
  <c r="V128" i="8"/>
  <c r="V127" i="8"/>
  <c r="V126" i="8"/>
  <c r="V125" i="8"/>
  <c r="V124" i="8"/>
  <c r="V123" i="8"/>
  <c r="V122" i="8"/>
  <c r="V121" i="8"/>
  <c r="V120" i="8"/>
  <c r="V119" i="8"/>
  <c r="V118" i="8"/>
  <c r="V117" i="8"/>
  <c r="V116" i="8"/>
  <c r="V115" i="8"/>
  <c r="V114" i="8"/>
  <c r="V113" i="8"/>
  <c r="V112" i="8"/>
  <c r="V111" i="8"/>
  <c r="V110" i="8"/>
  <c r="V109" i="8"/>
  <c r="V108" i="8"/>
  <c r="V107" i="8"/>
  <c r="V106" i="8"/>
  <c r="V105" i="8"/>
  <c r="V104" i="8"/>
  <c r="V103" i="8"/>
  <c r="V102" i="8"/>
  <c r="V101" i="8"/>
  <c r="V100" i="8"/>
  <c r="V99" i="8"/>
  <c r="V98" i="8"/>
  <c r="V97" i="8"/>
  <c r="V96" i="8"/>
  <c r="V95" i="8"/>
  <c r="V94" i="8"/>
  <c r="V93" i="8"/>
  <c r="V92" i="8"/>
  <c r="V91" i="8"/>
  <c r="V90" i="8"/>
  <c r="V89" i="8"/>
  <c r="V88" i="8"/>
  <c r="V87" i="8"/>
  <c r="V86" i="8"/>
  <c r="V85" i="8"/>
  <c r="V84" i="8"/>
  <c r="V83" i="8"/>
  <c r="V82" i="8"/>
  <c r="V81" i="8"/>
  <c r="V80" i="8"/>
  <c r="V79" i="8"/>
  <c r="V78" i="8"/>
  <c r="V77" i="8"/>
  <c r="V76" i="8"/>
  <c r="V75" i="8"/>
  <c r="V74" i="8"/>
  <c r="V73" i="8"/>
  <c r="V72" i="8"/>
  <c r="V71" i="8"/>
  <c r="V70" i="8"/>
  <c r="V69" i="8"/>
  <c r="V68" i="8"/>
  <c r="V67" i="8"/>
  <c r="V66" i="8"/>
  <c r="V65" i="8"/>
  <c r="V64" i="8"/>
  <c r="V63" i="8"/>
  <c r="V62" i="8"/>
  <c r="V61" i="8"/>
  <c r="V60" i="8"/>
  <c r="V59" i="8"/>
  <c r="V58" i="8"/>
  <c r="V57" i="8"/>
  <c r="V56" i="8"/>
  <c r="V55" i="8"/>
  <c r="V54" i="8"/>
  <c r="V53" i="8"/>
  <c r="V52" i="8"/>
  <c r="V51" i="8"/>
  <c r="V50" i="8"/>
  <c r="V49" i="8"/>
  <c r="V48" i="8"/>
  <c r="V47" i="8"/>
  <c r="V46" i="8"/>
  <c r="V45" i="8"/>
  <c r="V44" i="8"/>
  <c r="V43" i="8"/>
  <c r="V42" i="8"/>
  <c r="V41" i="8"/>
  <c r="V40" i="8"/>
  <c r="V39" i="8"/>
  <c r="V38" i="8"/>
  <c r="V37" i="8"/>
  <c r="V36" i="8"/>
  <c r="V35" i="8"/>
  <c r="V34" i="8"/>
  <c r="V33" i="8"/>
  <c r="V32" i="8"/>
  <c r="V31" i="8"/>
  <c r="V30" i="8"/>
  <c r="V29" i="8"/>
  <c r="V28" i="8"/>
  <c r="V27" i="8"/>
  <c r="V26" i="8"/>
  <c r="V25" i="8"/>
  <c r="V24" i="8"/>
  <c r="V23" i="8"/>
  <c r="V22" i="8"/>
  <c r="V21" i="8"/>
  <c r="V20" i="8"/>
  <c r="V19" i="8"/>
  <c r="V18" i="8"/>
  <c r="V17" i="8"/>
  <c r="V16" i="8"/>
  <c r="V15" i="8"/>
  <c r="V14" i="8"/>
  <c r="V13" i="8"/>
  <c r="V12" i="8"/>
  <c r="V11" i="8"/>
  <c r="V10" i="8"/>
  <c r="V9" i="8"/>
  <c r="V8" i="8"/>
  <c r="V7" i="8"/>
  <c r="V6" i="8"/>
  <c r="V5" i="8"/>
  <c r="V4" i="8"/>
  <c r="V3" i="8"/>
  <c r="T224" i="8"/>
  <c r="T223" i="8"/>
  <c r="T222" i="8"/>
  <c r="T221" i="8"/>
  <c r="T220" i="8"/>
  <c r="T219" i="8"/>
  <c r="T218" i="8"/>
  <c r="T217" i="8"/>
  <c r="T216" i="8"/>
  <c r="T215" i="8"/>
  <c r="T214" i="8"/>
  <c r="T213" i="8"/>
  <c r="T212" i="8"/>
  <c r="T211" i="8"/>
  <c r="T210" i="8"/>
  <c r="T209" i="8"/>
  <c r="T208" i="8"/>
  <c r="T207" i="8"/>
  <c r="T206" i="8"/>
  <c r="T205" i="8"/>
  <c r="T204" i="8"/>
  <c r="T203" i="8"/>
  <c r="T202" i="8"/>
  <c r="T201" i="8"/>
  <c r="T200" i="8"/>
  <c r="T199" i="8"/>
  <c r="T198" i="8"/>
  <c r="T197" i="8"/>
  <c r="T196" i="8"/>
  <c r="T195" i="8"/>
  <c r="T194" i="8"/>
  <c r="T193" i="8"/>
  <c r="T192" i="8"/>
  <c r="T191" i="8"/>
  <c r="T190" i="8"/>
  <c r="T189" i="8"/>
  <c r="T188" i="8"/>
  <c r="T187" i="8"/>
  <c r="T186" i="8"/>
  <c r="T185" i="8"/>
  <c r="T184" i="8"/>
  <c r="T183" i="8"/>
  <c r="T182" i="8"/>
  <c r="T181" i="8"/>
  <c r="T180" i="8"/>
  <c r="T179" i="8"/>
  <c r="T178" i="8"/>
  <c r="T177" i="8"/>
  <c r="T176" i="8"/>
  <c r="T175" i="8"/>
  <c r="T174" i="8"/>
  <c r="T173" i="8"/>
  <c r="T172" i="8"/>
  <c r="T171" i="8"/>
  <c r="T170" i="8"/>
  <c r="T169" i="8"/>
  <c r="T168" i="8"/>
  <c r="T167" i="8"/>
  <c r="T166" i="8"/>
  <c r="T165" i="8"/>
  <c r="T164" i="8"/>
  <c r="T163" i="8"/>
  <c r="T162" i="8"/>
  <c r="T161" i="8"/>
  <c r="T160" i="8"/>
  <c r="T159" i="8"/>
  <c r="T158" i="8"/>
  <c r="T157" i="8"/>
  <c r="T156" i="8"/>
  <c r="T155" i="8"/>
  <c r="T154" i="8"/>
  <c r="T153" i="8"/>
  <c r="T152" i="8"/>
  <c r="T151" i="8"/>
  <c r="T150" i="8"/>
  <c r="T149" i="8"/>
  <c r="T148" i="8"/>
  <c r="T147" i="8"/>
  <c r="T146" i="8"/>
  <c r="T145" i="8"/>
  <c r="T144" i="8"/>
  <c r="T143" i="8"/>
  <c r="T142" i="8"/>
  <c r="T141" i="8"/>
  <c r="T140" i="8"/>
  <c r="T139" i="8"/>
  <c r="T138" i="8"/>
  <c r="T137" i="8"/>
  <c r="T136" i="8"/>
  <c r="T135" i="8"/>
  <c r="T134" i="8"/>
  <c r="T133" i="8"/>
  <c r="T132" i="8"/>
  <c r="T131" i="8"/>
  <c r="T130" i="8"/>
  <c r="T129" i="8"/>
  <c r="T128" i="8"/>
  <c r="T127" i="8"/>
  <c r="T126" i="8"/>
  <c r="T125" i="8"/>
  <c r="T124" i="8"/>
  <c r="T123" i="8"/>
  <c r="T122" i="8"/>
  <c r="T121" i="8"/>
  <c r="T120" i="8"/>
  <c r="T119" i="8"/>
  <c r="T118" i="8"/>
  <c r="T117" i="8"/>
  <c r="T116" i="8"/>
  <c r="T115" i="8"/>
  <c r="T114" i="8"/>
  <c r="T113" i="8"/>
  <c r="T112" i="8"/>
  <c r="T111" i="8"/>
  <c r="T110" i="8"/>
  <c r="T109" i="8"/>
  <c r="T108" i="8"/>
  <c r="T107" i="8"/>
  <c r="T106" i="8"/>
  <c r="T105" i="8"/>
  <c r="T104" i="8"/>
  <c r="T103" i="8"/>
  <c r="T102" i="8"/>
  <c r="T101" i="8"/>
  <c r="T100"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T51" i="8"/>
  <c r="T50" i="8"/>
  <c r="T49" i="8"/>
  <c r="T48" i="8"/>
  <c r="T47" i="8"/>
  <c r="T46" i="8"/>
  <c r="T45" i="8"/>
  <c r="T44" i="8"/>
  <c r="T43" i="8"/>
  <c r="T42" i="8"/>
  <c r="T4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T10" i="8"/>
  <c r="T9" i="8"/>
  <c r="T8" i="8"/>
  <c r="T7" i="8"/>
  <c r="T6" i="8"/>
  <c r="T5" i="8"/>
  <c r="T4" i="8"/>
  <c r="T3" i="8"/>
  <c r="C42" i="6" l="1"/>
  <c r="E14" i="6"/>
  <c r="E15" i="6"/>
  <c r="E41" i="6"/>
  <c r="E13" i="6"/>
  <c r="C15" i="2"/>
  <c r="C14" i="2"/>
  <c r="R224" i="8"/>
  <c r="R223" i="8"/>
  <c r="R222" i="8"/>
  <c r="R221" i="8"/>
  <c r="R220" i="8"/>
  <c r="R219" i="8"/>
  <c r="R218" i="8"/>
  <c r="R217" i="8"/>
  <c r="R216" i="8"/>
  <c r="R215" i="8"/>
  <c r="R214" i="8"/>
  <c r="R213" i="8"/>
  <c r="R212" i="8"/>
  <c r="R211" i="8"/>
  <c r="R210" i="8"/>
  <c r="R209" i="8"/>
  <c r="R208" i="8"/>
  <c r="R207" i="8"/>
  <c r="R206" i="8"/>
  <c r="R205" i="8"/>
  <c r="R204" i="8"/>
  <c r="R203" i="8"/>
  <c r="R202" i="8"/>
  <c r="R201" i="8"/>
  <c r="R200" i="8"/>
  <c r="R199" i="8"/>
  <c r="R198" i="8"/>
  <c r="R197" i="8"/>
  <c r="R196" i="8"/>
  <c r="R195" i="8"/>
  <c r="R194" i="8"/>
  <c r="R193" i="8"/>
  <c r="R192" i="8"/>
  <c r="R191" i="8"/>
  <c r="R190" i="8"/>
  <c r="R189" i="8"/>
  <c r="R188" i="8"/>
  <c r="R187" i="8"/>
  <c r="R186" i="8"/>
  <c r="R185" i="8"/>
  <c r="R184" i="8"/>
  <c r="R183" i="8"/>
  <c r="R182" i="8"/>
  <c r="R181" i="8"/>
  <c r="R180" i="8"/>
  <c r="R179" i="8"/>
  <c r="R178" i="8"/>
  <c r="R177" i="8"/>
  <c r="R176" i="8"/>
  <c r="R175" i="8"/>
  <c r="R174" i="8"/>
  <c r="R173" i="8"/>
  <c r="R172" i="8"/>
  <c r="R171" i="8"/>
  <c r="R170" i="8"/>
  <c r="R169" i="8"/>
  <c r="R168" i="8"/>
  <c r="R167" i="8"/>
  <c r="R166" i="8"/>
  <c r="R165" i="8"/>
  <c r="R164" i="8"/>
  <c r="R163" i="8"/>
  <c r="R162" i="8"/>
  <c r="R161" i="8"/>
  <c r="R160" i="8"/>
  <c r="R159" i="8"/>
  <c r="R158" i="8"/>
  <c r="R157" i="8"/>
  <c r="R156" i="8"/>
  <c r="R155" i="8"/>
  <c r="R154" i="8"/>
  <c r="R153" i="8"/>
  <c r="R152" i="8"/>
  <c r="R151" i="8"/>
  <c r="R150" i="8"/>
  <c r="R149" i="8"/>
  <c r="R148" i="8"/>
  <c r="R147" i="8"/>
  <c r="R146" i="8"/>
  <c r="R145" i="8"/>
  <c r="R144" i="8"/>
  <c r="R143" i="8"/>
  <c r="R142" i="8"/>
  <c r="R141" i="8"/>
  <c r="R140" i="8"/>
  <c r="R139" i="8"/>
  <c r="R138" i="8"/>
  <c r="R137" i="8"/>
  <c r="R136" i="8"/>
  <c r="R135" i="8"/>
  <c r="R134" i="8"/>
  <c r="R133" i="8"/>
  <c r="R132" i="8"/>
  <c r="R131" i="8"/>
  <c r="R130" i="8"/>
  <c r="R129" i="8"/>
  <c r="R128" i="8"/>
  <c r="R127" i="8"/>
  <c r="R126" i="8"/>
  <c r="R125" i="8"/>
  <c r="R124" i="8"/>
  <c r="R123" i="8"/>
  <c r="R122" i="8"/>
  <c r="R121" i="8"/>
  <c r="R120" i="8"/>
  <c r="R119" i="8"/>
  <c r="R118" i="8"/>
  <c r="R117" i="8"/>
  <c r="R116" i="8"/>
  <c r="R115" i="8"/>
  <c r="R114" i="8"/>
  <c r="R113" i="8"/>
  <c r="R112" i="8"/>
  <c r="R111" i="8"/>
  <c r="R110" i="8"/>
  <c r="R109" i="8"/>
  <c r="R108" i="8"/>
  <c r="R107" i="8"/>
  <c r="R106" i="8"/>
  <c r="R105" i="8"/>
  <c r="R104" i="8"/>
  <c r="R103" i="8"/>
  <c r="R102" i="8"/>
  <c r="R101" i="8"/>
  <c r="R100" i="8"/>
  <c r="R99" i="8"/>
  <c r="R98" i="8"/>
  <c r="R97" i="8"/>
  <c r="R96" i="8"/>
  <c r="R95" i="8"/>
  <c r="R94" i="8"/>
  <c r="R93" i="8"/>
  <c r="R92" i="8"/>
  <c r="R91" i="8"/>
  <c r="R90" i="8"/>
  <c r="R89" i="8"/>
  <c r="R88" i="8"/>
  <c r="R87" i="8"/>
  <c r="R86" i="8"/>
  <c r="R85" i="8"/>
  <c r="R84" i="8"/>
  <c r="R83" i="8"/>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E56" i="2"/>
  <c r="C56" i="2" s="1"/>
  <c r="C42" i="2"/>
  <c r="C12" i="2"/>
  <c r="E10" i="6" s="1"/>
  <c r="C13" i="2"/>
  <c r="E12" i="6" s="1"/>
  <c r="B1" i="8"/>
  <c r="C1" i="8" s="1"/>
  <c r="D1" i="8" s="1"/>
  <c r="E1" i="8" s="1"/>
  <c r="F1" i="8" s="1"/>
  <c r="G1" i="8" s="1"/>
  <c r="H1" i="8" s="1"/>
  <c r="I1" i="8" s="1"/>
  <c r="J1" i="8" s="1"/>
  <c r="K1" i="8" s="1"/>
  <c r="L1" i="8" s="1"/>
  <c r="M1" i="8" s="1"/>
  <c r="N1" i="8" s="1"/>
  <c r="O1" i="8" s="1"/>
  <c r="P1" i="8" s="1"/>
  <c r="Q1" i="8" s="1"/>
  <c r="B229" i="9"/>
  <c r="AC228" i="9"/>
  <c r="AC229" i="9" s="1"/>
  <c r="AD226" i="9"/>
  <c r="AI223" i="9"/>
  <c r="AH223" i="9"/>
  <c r="AB223" i="9"/>
  <c r="AC223" i="9" s="1"/>
  <c r="Z223" i="9"/>
  <c r="P223" i="9"/>
  <c r="G223" i="9"/>
  <c r="E223" i="9"/>
  <c r="AH222" i="9"/>
  <c r="AI222" i="9" s="1"/>
  <c r="AB222" i="9"/>
  <c r="AC222" i="9" s="1"/>
  <c r="Z222" i="9"/>
  <c r="G222" i="9"/>
  <c r="E222" i="9"/>
  <c r="AH221" i="9"/>
  <c r="AI221" i="9" s="1"/>
  <c r="AC221" i="9"/>
  <c r="AB221" i="9"/>
  <c r="Z221" i="9"/>
  <c r="G221" i="9"/>
  <c r="E221" i="9"/>
  <c r="AI220" i="9"/>
  <c r="AH220" i="9"/>
  <c r="AB220" i="9"/>
  <c r="AC220" i="9" s="1"/>
  <c r="Z220" i="9"/>
  <c r="P220" i="9"/>
  <c r="G220" i="9"/>
  <c r="E220" i="9"/>
  <c r="AH219" i="9"/>
  <c r="AI219" i="9" s="1"/>
  <c r="AB219" i="9"/>
  <c r="AC219" i="9" s="1"/>
  <c r="Z219" i="9"/>
  <c r="G219" i="9"/>
  <c r="E219" i="9"/>
  <c r="AH218" i="9"/>
  <c r="AI218" i="9" s="1"/>
  <c r="AC218" i="9"/>
  <c r="AB218" i="9"/>
  <c r="Z218" i="9"/>
  <c r="P218" i="9"/>
  <c r="Q218" i="9" s="1"/>
  <c r="G218" i="9"/>
  <c r="E218" i="9"/>
  <c r="AI217" i="9"/>
  <c r="AH217" i="9"/>
  <c r="AC217" i="9"/>
  <c r="AB217" i="9"/>
  <c r="Z217" i="9"/>
  <c r="G217" i="9"/>
  <c r="E217" i="9"/>
  <c r="AI216" i="9"/>
  <c r="AH216" i="9"/>
  <c r="AC216" i="9"/>
  <c r="AB216" i="9"/>
  <c r="Z216" i="9"/>
  <c r="Q216" i="9"/>
  <c r="P216" i="9"/>
  <c r="G216" i="9"/>
  <c r="E216" i="9"/>
  <c r="AH215" i="9"/>
  <c r="AI215" i="9" s="1"/>
  <c r="AC215" i="9"/>
  <c r="AB215" i="9"/>
  <c r="Z215" i="9"/>
  <c r="P215" i="9"/>
  <c r="Q215" i="9" s="1"/>
  <c r="G215" i="9"/>
  <c r="E215" i="9"/>
  <c r="AH214" i="9"/>
  <c r="AI214" i="9" s="1"/>
  <c r="AC214" i="9"/>
  <c r="AB214" i="9"/>
  <c r="Z214" i="9"/>
  <c r="P214" i="9"/>
  <c r="Q214" i="9" s="1"/>
  <c r="G214" i="9"/>
  <c r="E214" i="9"/>
  <c r="AI213" i="9"/>
  <c r="AH213" i="9"/>
  <c r="AB213" i="9"/>
  <c r="AC213" i="9" s="1"/>
  <c r="Z213" i="9"/>
  <c r="Q213" i="9"/>
  <c r="P213" i="9"/>
  <c r="G213" i="9"/>
  <c r="E213" i="9"/>
  <c r="AI212" i="9"/>
  <c r="AH212" i="9"/>
  <c r="AB212" i="9"/>
  <c r="AC212" i="9" s="1"/>
  <c r="Z212" i="9"/>
  <c r="Q212" i="9"/>
  <c r="P212" i="9"/>
  <c r="G212" i="9"/>
  <c r="E212" i="9"/>
  <c r="AI211" i="9"/>
  <c r="AH211" i="9"/>
  <c r="AC211" i="9"/>
  <c r="AB211" i="9"/>
  <c r="Z211" i="9"/>
  <c r="Q211" i="9"/>
  <c r="P211" i="9"/>
  <c r="G211" i="9"/>
  <c r="E211" i="9"/>
  <c r="AH210" i="9"/>
  <c r="AI210" i="9" s="1"/>
  <c r="AB210" i="9"/>
  <c r="AC210" i="9" s="1"/>
  <c r="Z210" i="9"/>
  <c r="P210" i="9"/>
  <c r="Q210" i="9" s="1"/>
  <c r="G210" i="9"/>
  <c r="E210" i="9"/>
  <c r="AH209" i="9"/>
  <c r="AI209" i="9" s="1"/>
  <c r="AB209" i="9"/>
  <c r="AC209" i="9" s="1"/>
  <c r="Z209" i="9"/>
  <c r="P209" i="9"/>
  <c r="Q209" i="9" s="1"/>
  <c r="G209" i="9"/>
  <c r="E209" i="9"/>
  <c r="AI208" i="9"/>
  <c r="AH208" i="9"/>
  <c r="AC208" i="9"/>
  <c r="AB208" i="9"/>
  <c r="Z208" i="9"/>
  <c r="P208" i="9"/>
  <c r="G208" i="9"/>
  <c r="E208" i="9"/>
  <c r="AH207" i="9"/>
  <c r="AI207" i="9" s="1"/>
  <c r="AC207" i="9"/>
  <c r="AB207" i="9"/>
  <c r="Z207" i="9"/>
  <c r="P207" i="9"/>
  <c r="G207" i="9"/>
  <c r="E207" i="9"/>
  <c r="AH206" i="9"/>
  <c r="AI206" i="9" s="1"/>
  <c r="AB206" i="9"/>
  <c r="AC206" i="9" s="1"/>
  <c r="Z206" i="9"/>
  <c r="P206" i="9"/>
  <c r="G206" i="9"/>
  <c r="E206" i="9"/>
  <c r="AH205" i="9"/>
  <c r="AI205" i="9" s="1"/>
  <c r="AB205" i="9"/>
  <c r="AC205" i="9" s="1"/>
  <c r="Z205" i="9"/>
  <c r="P205" i="9"/>
  <c r="G205" i="9"/>
  <c r="E205" i="9"/>
  <c r="AI204" i="9"/>
  <c r="AH204" i="9"/>
  <c r="AC204" i="9"/>
  <c r="AB204" i="9"/>
  <c r="Z204" i="9"/>
  <c r="P204" i="9"/>
  <c r="G204" i="9"/>
  <c r="E204" i="9"/>
  <c r="AH203" i="9"/>
  <c r="AI203" i="9" s="1"/>
  <c r="AC203" i="9"/>
  <c r="AB203" i="9"/>
  <c r="Z203" i="9"/>
  <c r="P203" i="9"/>
  <c r="G203" i="9"/>
  <c r="E203" i="9"/>
  <c r="AH202" i="9"/>
  <c r="AI202" i="9" s="1"/>
  <c r="AB202" i="9"/>
  <c r="AC202" i="9" s="1"/>
  <c r="Z202" i="9"/>
  <c r="P202" i="9"/>
  <c r="G202" i="9"/>
  <c r="E202" i="9"/>
  <c r="AH201" i="9"/>
  <c r="AI201" i="9" s="1"/>
  <c r="AB201" i="9"/>
  <c r="AC201" i="9" s="1"/>
  <c r="Z201" i="9"/>
  <c r="P201" i="9"/>
  <c r="G201" i="9"/>
  <c r="E201" i="9"/>
  <c r="AI200" i="9"/>
  <c r="AH200" i="9"/>
  <c r="AC200" i="9"/>
  <c r="AB200" i="9"/>
  <c r="Z200" i="9"/>
  <c r="P200" i="9"/>
  <c r="G200" i="9"/>
  <c r="E200" i="9"/>
  <c r="AH199" i="9"/>
  <c r="AI199" i="9" s="1"/>
  <c r="AC199" i="9"/>
  <c r="AB199" i="9"/>
  <c r="Z199" i="9"/>
  <c r="P199" i="9"/>
  <c r="G199" i="9"/>
  <c r="E199" i="9"/>
  <c r="AH198" i="9"/>
  <c r="AI198" i="9" s="1"/>
  <c r="AB198" i="9"/>
  <c r="AC198" i="9" s="1"/>
  <c r="Z198" i="9"/>
  <c r="P198" i="9"/>
  <c r="G198" i="9"/>
  <c r="E198" i="9"/>
  <c r="AH197" i="9"/>
  <c r="AI197" i="9" s="1"/>
  <c r="AB197" i="9"/>
  <c r="AC197" i="9" s="1"/>
  <c r="Z197" i="9"/>
  <c r="P197" i="9"/>
  <c r="G197" i="9"/>
  <c r="E197" i="9"/>
  <c r="AI196" i="9"/>
  <c r="AH196" i="9"/>
  <c r="AC196" i="9"/>
  <c r="AB196" i="9"/>
  <c r="Z196" i="9"/>
  <c r="P196" i="9"/>
  <c r="G196" i="9"/>
  <c r="E196" i="9"/>
  <c r="AH195" i="9"/>
  <c r="AI195" i="9" s="1"/>
  <c r="AC195" i="9"/>
  <c r="AB195" i="9"/>
  <c r="Z195" i="9"/>
  <c r="P195" i="9"/>
  <c r="G195" i="9"/>
  <c r="E195" i="9"/>
  <c r="AH194" i="9"/>
  <c r="AI194" i="9" s="1"/>
  <c r="AB194" i="9"/>
  <c r="AC194" i="9" s="1"/>
  <c r="Z194" i="9"/>
  <c r="P194" i="9"/>
  <c r="G194" i="9"/>
  <c r="E194" i="9"/>
  <c r="AH193" i="9"/>
  <c r="AI193" i="9" s="1"/>
  <c r="AB193" i="9"/>
  <c r="AC193" i="9" s="1"/>
  <c r="Z193" i="9"/>
  <c r="P193" i="9"/>
  <c r="G193" i="9"/>
  <c r="E193" i="9"/>
  <c r="AI192" i="9"/>
  <c r="AH192" i="9"/>
  <c r="AC192" i="9"/>
  <c r="AB192" i="9"/>
  <c r="Z192" i="9"/>
  <c r="P192" i="9"/>
  <c r="G192" i="9"/>
  <c r="E192" i="9"/>
  <c r="AH191" i="9"/>
  <c r="AI191" i="9" s="1"/>
  <c r="AC191" i="9"/>
  <c r="AB191" i="9"/>
  <c r="Z191" i="9"/>
  <c r="P191" i="9"/>
  <c r="G191" i="9"/>
  <c r="E191" i="9"/>
  <c r="AH190" i="9"/>
  <c r="AI190" i="9" s="1"/>
  <c r="AB190" i="9"/>
  <c r="AC190" i="9" s="1"/>
  <c r="Z190" i="9"/>
  <c r="P190" i="9"/>
  <c r="G190" i="9"/>
  <c r="E190" i="9"/>
  <c r="AH189" i="9"/>
  <c r="AI189" i="9" s="1"/>
  <c r="AB189" i="9"/>
  <c r="AC189" i="9" s="1"/>
  <c r="Z189" i="9"/>
  <c r="P189" i="9"/>
  <c r="G189" i="9"/>
  <c r="E189" i="9"/>
  <c r="AI188" i="9"/>
  <c r="AH188" i="9"/>
  <c r="AC188" i="9"/>
  <c r="AB188" i="9"/>
  <c r="Z188" i="9"/>
  <c r="P188" i="9"/>
  <c r="G188" i="9"/>
  <c r="E188" i="9"/>
  <c r="AH187" i="9"/>
  <c r="AI187" i="9" s="1"/>
  <c r="AC187" i="9"/>
  <c r="AB187" i="9"/>
  <c r="Z187" i="9"/>
  <c r="P187" i="9"/>
  <c r="G187" i="9"/>
  <c r="E187" i="9"/>
  <c r="AH186" i="9"/>
  <c r="AI186" i="9" s="1"/>
  <c r="AB186" i="9"/>
  <c r="AC186" i="9" s="1"/>
  <c r="Z186" i="9"/>
  <c r="P186" i="9"/>
  <c r="G186" i="9"/>
  <c r="E186" i="9"/>
  <c r="AH185" i="9"/>
  <c r="AI185" i="9" s="1"/>
  <c r="AB185" i="9"/>
  <c r="AC185" i="9" s="1"/>
  <c r="Z185" i="9"/>
  <c r="P185" i="9"/>
  <c r="G185" i="9"/>
  <c r="E185" i="9"/>
  <c r="AI184" i="9"/>
  <c r="AH184" i="9"/>
  <c r="AC184" i="9"/>
  <c r="AB184" i="9"/>
  <c r="Z184" i="9"/>
  <c r="P184" i="9"/>
  <c r="G184" i="9"/>
  <c r="E184" i="9"/>
  <c r="AH183" i="9"/>
  <c r="AI183" i="9" s="1"/>
  <c r="AC183" i="9"/>
  <c r="AB183" i="9"/>
  <c r="Z183" i="9"/>
  <c r="P183" i="9"/>
  <c r="G183" i="9"/>
  <c r="E183" i="9"/>
  <c r="AH182" i="9"/>
  <c r="AI182" i="9" s="1"/>
  <c r="AB182" i="9"/>
  <c r="AC182" i="9" s="1"/>
  <c r="Z182" i="9"/>
  <c r="P182" i="9"/>
  <c r="G182" i="9"/>
  <c r="E182" i="9"/>
  <c r="AH181" i="9"/>
  <c r="AI181" i="9" s="1"/>
  <c r="AB181" i="9"/>
  <c r="AC181" i="9" s="1"/>
  <c r="Z181" i="9"/>
  <c r="P181" i="9"/>
  <c r="G181" i="9"/>
  <c r="E181" i="9"/>
  <c r="AI180" i="9"/>
  <c r="AH180" i="9"/>
  <c r="AC180" i="9"/>
  <c r="AB180" i="9"/>
  <c r="Z180" i="9"/>
  <c r="P180" i="9"/>
  <c r="G180" i="9"/>
  <c r="E180" i="9"/>
  <c r="AH179" i="9"/>
  <c r="AI179" i="9" s="1"/>
  <c r="AC179" i="9"/>
  <c r="AB179" i="9"/>
  <c r="Z179" i="9"/>
  <c r="P179" i="9"/>
  <c r="Q179" i="9" s="1"/>
  <c r="G179" i="9"/>
  <c r="E179" i="9"/>
  <c r="AI178" i="9"/>
  <c r="AH178" i="9"/>
  <c r="AC178" i="9"/>
  <c r="AB178" i="9"/>
  <c r="Z178" i="9"/>
  <c r="Q178" i="9"/>
  <c r="P178" i="9"/>
  <c r="G178" i="9"/>
  <c r="E178" i="9"/>
  <c r="AH177" i="9"/>
  <c r="AI177" i="9" s="1"/>
  <c r="AC177" i="9"/>
  <c r="AB177" i="9"/>
  <c r="Z177" i="9"/>
  <c r="P177" i="9"/>
  <c r="G177" i="9"/>
  <c r="E177" i="9"/>
  <c r="AI176" i="9"/>
  <c r="AH176" i="9"/>
  <c r="AB176" i="9"/>
  <c r="AC176" i="9" s="1"/>
  <c r="Z176" i="9"/>
  <c r="P176" i="9"/>
  <c r="G176" i="9"/>
  <c r="E176" i="9"/>
  <c r="AH175" i="9"/>
  <c r="AI175" i="9" s="1"/>
  <c r="AC175" i="9"/>
  <c r="AB175" i="9"/>
  <c r="Z175" i="9"/>
  <c r="P175" i="9"/>
  <c r="G175" i="9"/>
  <c r="E175" i="9"/>
  <c r="AH174" i="9"/>
  <c r="AI174" i="9" s="1"/>
  <c r="AC174" i="9"/>
  <c r="AB174" i="9"/>
  <c r="Z174" i="9"/>
  <c r="P174" i="9"/>
  <c r="G174" i="9"/>
  <c r="E174" i="9"/>
  <c r="AH173" i="9"/>
  <c r="AI173" i="9" s="1"/>
  <c r="AB173" i="9"/>
  <c r="AC173" i="9" s="1"/>
  <c r="Z173" i="9"/>
  <c r="P173" i="9"/>
  <c r="G173" i="9"/>
  <c r="E173" i="9"/>
  <c r="AH172" i="9"/>
  <c r="AI172" i="9" s="1"/>
  <c r="AB172" i="9"/>
  <c r="AC172" i="9" s="1"/>
  <c r="Z172" i="9"/>
  <c r="P172" i="9"/>
  <c r="G172" i="9"/>
  <c r="E172" i="9"/>
  <c r="AI171" i="9"/>
  <c r="AH171" i="9"/>
  <c r="AC171" i="9"/>
  <c r="AB171" i="9"/>
  <c r="Z171" i="9"/>
  <c r="P171" i="9"/>
  <c r="Q171" i="9" s="1"/>
  <c r="G171" i="9"/>
  <c r="E171" i="9"/>
  <c r="AH170" i="9"/>
  <c r="AI170" i="9" s="1"/>
  <c r="AB170" i="9"/>
  <c r="AC170" i="9" s="1"/>
  <c r="Z170" i="9"/>
  <c r="P170" i="9"/>
  <c r="Q170" i="9" s="1"/>
  <c r="G170" i="9"/>
  <c r="E170" i="9"/>
  <c r="AH169" i="9"/>
  <c r="AI169" i="9" s="1"/>
  <c r="AC169" i="9"/>
  <c r="AB169" i="9"/>
  <c r="Z169" i="9"/>
  <c r="P169" i="9"/>
  <c r="Q169" i="9" s="1"/>
  <c r="G169" i="9"/>
  <c r="E169" i="9"/>
  <c r="AI168" i="9"/>
  <c r="AH168" i="9"/>
  <c r="AB168" i="9"/>
  <c r="AC168" i="9" s="1"/>
  <c r="Z168" i="9"/>
  <c r="Q168" i="9"/>
  <c r="P168" i="9"/>
  <c r="G168" i="9"/>
  <c r="E168" i="9"/>
  <c r="AH167" i="9"/>
  <c r="AI167" i="9" s="1"/>
  <c r="AB167" i="9"/>
  <c r="AC167" i="9" s="1"/>
  <c r="Z167" i="9"/>
  <c r="P167" i="9"/>
  <c r="Q167" i="9" s="1"/>
  <c r="G167" i="9"/>
  <c r="E167" i="9"/>
  <c r="AI166" i="9"/>
  <c r="AH166" i="9"/>
  <c r="AC166" i="9"/>
  <c r="AB166" i="9"/>
  <c r="Z166" i="9"/>
  <c r="Q166" i="9"/>
  <c r="P166" i="9"/>
  <c r="G166" i="9"/>
  <c r="E166" i="9"/>
  <c r="AH165" i="9"/>
  <c r="AI165" i="9" s="1"/>
  <c r="AB165" i="9"/>
  <c r="AC165" i="9" s="1"/>
  <c r="Z165" i="9"/>
  <c r="P165" i="9"/>
  <c r="Q165" i="9" s="1"/>
  <c r="G165" i="9"/>
  <c r="E165" i="9"/>
  <c r="AI164" i="9"/>
  <c r="AH164" i="9"/>
  <c r="AB164" i="9"/>
  <c r="AC164" i="9" s="1"/>
  <c r="Z164" i="9"/>
  <c r="P164" i="9"/>
  <c r="Q164" i="9" s="1"/>
  <c r="G164" i="9"/>
  <c r="E164" i="9"/>
  <c r="AI163" i="9"/>
  <c r="AH163" i="9"/>
  <c r="AC163" i="9"/>
  <c r="AB163" i="9"/>
  <c r="Z163" i="9"/>
  <c r="P163" i="9"/>
  <c r="Q163" i="9" s="1"/>
  <c r="G163" i="9"/>
  <c r="E163" i="9"/>
  <c r="AH162" i="9"/>
  <c r="AI162" i="9" s="1"/>
  <c r="AB162" i="9"/>
  <c r="AC162" i="9" s="1"/>
  <c r="Z162" i="9"/>
  <c r="P162" i="9"/>
  <c r="Q162" i="9" s="1"/>
  <c r="G162" i="9"/>
  <c r="E162" i="9"/>
  <c r="AH161" i="9"/>
  <c r="AI161" i="9" s="1"/>
  <c r="AC161" i="9"/>
  <c r="AB161" i="9"/>
  <c r="Z161" i="9"/>
  <c r="G161" i="9"/>
  <c r="E161" i="9"/>
  <c r="AI160" i="9"/>
  <c r="AH160" i="9"/>
  <c r="AB160" i="9"/>
  <c r="AC160" i="9" s="1"/>
  <c r="Z160" i="9"/>
  <c r="G160" i="9"/>
  <c r="E160" i="9"/>
  <c r="AH159" i="9"/>
  <c r="AI159" i="9" s="1"/>
  <c r="AC159" i="9"/>
  <c r="AB159" i="9"/>
  <c r="Z159" i="9"/>
  <c r="P159" i="9"/>
  <c r="G159" i="9"/>
  <c r="E159" i="9"/>
  <c r="AH158" i="9"/>
  <c r="AI158" i="9" s="1"/>
  <c r="AB158" i="9"/>
  <c r="AC158" i="9" s="1"/>
  <c r="Z158" i="9"/>
  <c r="P158" i="9"/>
  <c r="H158" i="9"/>
  <c r="G158" i="9"/>
  <c r="E158" i="9"/>
  <c r="AI157" i="9"/>
  <c r="AH157" i="9"/>
  <c r="AB157" i="9"/>
  <c r="AC157" i="9" s="1"/>
  <c r="Z157" i="9"/>
  <c r="P157" i="9"/>
  <c r="G157" i="9"/>
  <c r="E157" i="9"/>
  <c r="AI156" i="9"/>
  <c r="AH156" i="9"/>
  <c r="AB156" i="9"/>
  <c r="AC156" i="9" s="1"/>
  <c r="Z156" i="9"/>
  <c r="P156" i="9"/>
  <c r="G156" i="9"/>
  <c r="E156" i="9"/>
  <c r="AI155" i="9"/>
  <c r="AH155" i="9"/>
  <c r="AB155" i="9"/>
  <c r="AC155" i="9" s="1"/>
  <c r="Z155" i="9"/>
  <c r="P155" i="9"/>
  <c r="G155" i="9"/>
  <c r="E155" i="9"/>
  <c r="AH154" i="9"/>
  <c r="AI154" i="9" s="1"/>
  <c r="AC154" i="9"/>
  <c r="AB154" i="9"/>
  <c r="Z154" i="9"/>
  <c r="P154" i="9"/>
  <c r="Q154" i="9" s="1"/>
  <c r="G154" i="9"/>
  <c r="E154" i="9"/>
  <c r="AH153" i="9"/>
  <c r="AI153" i="9" s="1"/>
  <c r="AB153" i="9"/>
  <c r="AC153" i="9" s="1"/>
  <c r="Z153" i="9"/>
  <c r="P153" i="9"/>
  <c r="Q153" i="9" s="1"/>
  <c r="G153" i="9"/>
  <c r="E153" i="9"/>
  <c r="AI152" i="9"/>
  <c r="AH152" i="9"/>
  <c r="AC152" i="9"/>
  <c r="AB152" i="9"/>
  <c r="Z152" i="9"/>
  <c r="Q152" i="9"/>
  <c r="P152" i="9"/>
  <c r="G152" i="9"/>
  <c r="E152" i="9"/>
  <c r="AI151" i="9"/>
  <c r="AH151" i="9"/>
  <c r="AB151" i="9"/>
  <c r="AC151" i="9" s="1"/>
  <c r="Z151" i="9"/>
  <c r="P151" i="9"/>
  <c r="G151" i="9"/>
  <c r="E151" i="9"/>
  <c r="AH150" i="9"/>
  <c r="AI150" i="9" s="1"/>
  <c r="AB150" i="9"/>
  <c r="AC150" i="9" s="1"/>
  <c r="Z150" i="9"/>
  <c r="G150" i="9"/>
  <c r="E150" i="9"/>
  <c r="AH149" i="9"/>
  <c r="AI149" i="9" s="1"/>
  <c r="AB149" i="9"/>
  <c r="AC149" i="9" s="1"/>
  <c r="Z149" i="9"/>
  <c r="P149" i="9"/>
  <c r="G149" i="9"/>
  <c r="E149" i="9"/>
  <c r="AI148" i="9"/>
  <c r="AH148" i="9"/>
  <c r="AC148" i="9"/>
  <c r="AB148" i="9"/>
  <c r="Z148" i="9"/>
  <c r="Q148" i="9"/>
  <c r="P148" i="9"/>
  <c r="G148" i="9"/>
  <c r="E148" i="9"/>
  <c r="AI147" i="9"/>
  <c r="AH147" i="9"/>
  <c r="AB147" i="9"/>
  <c r="AC147" i="9" s="1"/>
  <c r="Z147" i="9"/>
  <c r="Q147" i="9"/>
  <c r="P147" i="9"/>
  <c r="G147" i="9"/>
  <c r="E147" i="9"/>
  <c r="AH146" i="9"/>
  <c r="AI146" i="9" s="1"/>
  <c r="AC146" i="9"/>
  <c r="AB146" i="9"/>
  <c r="Z146" i="9"/>
  <c r="P146" i="9"/>
  <c r="Q146" i="9" s="1"/>
  <c r="G146" i="9"/>
  <c r="E146" i="9"/>
  <c r="AH145" i="9"/>
  <c r="AI145" i="9" s="1"/>
  <c r="AB145" i="9"/>
  <c r="AC145" i="9" s="1"/>
  <c r="Z145" i="9"/>
  <c r="P145" i="9"/>
  <c r="Q145" i="9" s="1"/>
  <c r="G145" i="9"/>
  <c r="E145" i="9"/>
  <c r="AI144" i="9"/>
  <c r="AH144" i="9"/>
  <c r="AB144" i="9"/>
  <c r="AC144" i="9" s="1"/>
  <c r="Z144" i="9"/>
  <c r="P144" i="9"/>
  <c r="Q144" i="9" s="1"/>
  <c r="G144" i="9"/>
  <c r="E144" i="9"/>
  <c r="AI143" i="9"/>
  <c r="AH143" i="9"/>
  <c r="AB143" i="9"/>
  <c r="AC143" i="9" s="1"/>
  <c r="Z143" i="9"/>
  <c r="P143" i="9"/>
  <c r="G143" i="9"/>
  <c r="E143" i="9"/>
  <c r="AI142" i="9"/>
  <c r="AH142" i="9"/>
  <c r="AB142" i="9"/>
  <c r="AC142" i="9" s="1"/>
  <c r="Z142" i="9"/>
  <c r="P142" i="9"/>
  <c r="G142" i="9"/>
  <c r="E142" i="9"/>
  <c r="AI141" i="9"/>
  <c r="AH141" i="9"/>
  <c r="AB141" i="9"/>
  <c r="AC141" i="9" s="1"/>
  <c r="Z141" i="9"/>
  <c r="P141" i="9"/>
  <c r="G141" i="9"/>
  <c r="E141" i="9"/>
  <c r="AI140" i="9"/>
  <c r="AH140" i="9"/>
  <c r="AB140" i="9"/>
  <c r="AC140" i="9" s="1"/>
  <c r="Z140" i="9"/>
  <c r="Q140" i="9"/>
  <c r="P140" i="9"/>
  <c r="G140" i="9"/>
  <c r="E140" i="9"/>
  <c r="AH139" i="9"/>
  <c r="AI139" i="9" s="1"/>
  <c r="AC139" i="9"/>
  <c r="AB139" i="9"/>
  <c r="Z139" i="9"/>
  <c r="P139" i="9"/>
  <c r="G139" i="9"/>
  <c r="E139" i="9"/>
  <c r="AH138" i="9"/>
  <c r="AI138" i="9" s="1"/>
  <c r="AC138" i="9"/>
  <c r="AB138" i="9"/>
  <c r="Z138" i="9"/>
  <c r="P138" i="9"/>
  <c r="Q138" i="9" s="1"/>
  <c r="G138" i="9"/>
  <c r="E138" i="9"/>
  <c r="AI137" i="9"/>
  <c r="AH137" i="9"/>
  <c r="AB137" i="9"/>
  <c r="AC137" i="9" s="1"/>
  <c r="Z137" i="9"/>
  <c r="Q137" i="9"/>
  <c r="P137" i="9"/>
  <c r="G137" i="9"/>
  <c r="E137" i="9"/>
  <c r="AH136" i="9"/>
  <c r="AI136" i="9" s="1"/>
  <c r="AC136" i="9"/>
  <c r="AB136" i="9"/>
  <c r="Z136" i="9"/>
  <c r="P136" i="9"/>
  <c r="Q136" i="9" s="1"/>
  <c r="G136" i="9"/>
  <c r="E136" i="9"/>
  <c r="AI135" i="9"/>
  <c r="AH135" i="9"/>
  <c r="AB135" i="9"/>
  <c r="AC135" i="9" s="1"/>
  <c r="Z135" i="9"/>
  <c r="Q135" i="9"/>
  <c r="P135" i="9"/>
  <c r="H135" i="9"/>
  <c r="G135" i="9"/>
  <c r="E135" i="9"/>
  <c r="AI134" i="9"/>
  <c r="AH134" i="9"/>
  <c r="AB134" i="9"/>
  <c r="AC134" i="9" s="1"/>
  <c r="Z134" i="9"/>
  <c r="Q134" i="9"/>
  <c r="P134" i="9"/>
  <c r="G134" i="9"/>
  <c r="E134" i="9"/>
  <c r="AH133" i="9"/>
  <c r="AI133" i="9" s="1"/>
  <c r="AC133" i="9"/>
  <c r="AB133" i="9"/>
  <c r="Z133" i="9"/>
  <c r="P133" i="9"/>
  <c r="Q133" i="9" s="1"/>
  <c r="G133" i="9"/>
  <c r="E133" i="9"/>
  <c r="AI132" i="9"/>
  <c r="AH132" i="9"/>
  <c r="AB132" i="9"/>
  <c r="AC132" i="9" s="1"/>
  <c r="Z132" i="9"/>
  <c r="Q132" i="9"/>
  <c r="P132" i="9"/>
  <c r="G132" i="9"/>
  <c r="E132" i="9"/>
  <c r="AH131" i="9"/>
  <c r="AI131" i="9" s="1"/>
  <c r="AC131" i="9"/>
  <c r="AB131" i="9"/>
  <c r="Z131" i="9"/>
  <c r="P131" i="9"/>
  <c r="Q131" i="9" s="1"/>
  <c r="G131" i="9"/>
  <c r="E131" i="9"/>
  <c r="AI130" i="9"/>
  <c r="AH130" i="9"/>
  <c r="AB130" i="9"/>
  <c r="AC130" i="9" s="1"/>
  <c r="Z130" i="9"/>
  <c r="Q130" i="9"/>
  <c r="P130" i="9"/>
  <c r="G130" i="9"/>
  <c r="E130" i="9"/>
  <c r="AH129" i="9"/>
  <c r="AI129" i="9" s="1"/>
  <c r="AC129" i="9"/>
  <c r="AB129" i="9"/>
  <c r="Z129" i="9"/>
  <c r="P129" i="9"/>
  <c r="G129" i="9"/>
  <c r="E129" i="9"/>
  <c r="AH128" i="9"/>
  <c r="AI128" i="9" s="1"/>
  <c r="AC128" i="9"/>
  <c r="AB128" i="9"/>
  <c r="Z128" i="9"/>
  <c r="P128" i="9"/>
  <c r="G128" i="9"/>
  <c r="E128" i="9"/>
  <c r="AH127" i="9"/>
  <c r="AI127" i="9" s="1"/>
  <c r="AC127" i="9"/>
  <c r="AB127" i="9"/>
  <c r="Z127" i="9"/>
  <c r="P127" i="9"/>
  <c r="G127" i="9"/>
  <c r="E127" i="9"/>
  <c r="AH126" i="9"/>
  <c r="AI126" i="9" s="1"/>
  <c r="AC126" i="9"/>
  <c r="AB126" i="9"/>
  <c r="Z126" i="9"/>
  <c r="P126" i="9"/>
  <c r="G126" i="9"/>
  <c r="E126" i="9"/>
  <c r="AH125" i="9"/>
  <c r="AI125" i="9" s="1"/>
  <c r="AB125" i="9"/>
  <c r="AC125" i="9" s="1"/>
  <c r="Z125" i="9"/>
  <c r="P125" i="9"/>
  <c r="G125" i="9"/>
  <c r="E125" i="9"/>
  <c r="AI124" i="9"/>
  <c r="AH124" i="9"/>
  <c r="AC124" i="9"/>
  <c r="AB124" i="9"/>
  <c r="Z124" i="9"/>
  <c r="G124" i="9"/>
  <c r="E124" i="9"/>
  <c r="AI123" i="9"/>
  <c r="AH123" i="9"/>
  <c r="AB123" i="9"/>
  <c r="AC123" i="9" s="1"/>
  <c r="Z123" i="9"/>
  <c r="G123" i="9"/>
  <c r="E123" i="9"/>
  <c r="AH122" i="9"/>
  <c r="AI122" i="9" s="1"/>
  <c r="AB122" i="9"/>
  <c r="AC122" i="9" s="1"/>
  <c r="Z122" i="9"/>
  <c r="G122" i="9"/>
  <c r="E122" i="9"/>
  <c r="AH121" i="9"/>
  <c r="AI121" i="9" s="1"/>
  <c r="AB121" i="9"/>
  <c r="AC121" i="9" s="1"/>
  <c r="Z121" i="9"/>
  <c r="G121" i="9"/>
  <c r="E121" i="9"/>
  <c r="AH120" i="9"/>
  <c r="AI120" i="9" s="1"/>
  <c r="AC120" i="9"/>
  <c r="AB120" i="9"/>
  <c r="Z120" i="9"/>
  <c r="G120" i="9"/>
  <c r="E120" i="9"/>
  <c r="AI119" i="9"/>
  <c r="AH119" i="9"/>
  <c r="AB119" i="9"/>
  <c r="AC119" i="9" s="1"/>
  <c r="Z119" i="9"/>
  <c r="Q119" i="9"/>
  <c r="P119" i="9"/>
  <c r="G119" i="9"/>
  <c r="E119" i="9"/>
  <c r="AH118" i="9"/>
  <c r="AI118" i="9" s="1"/>
  <c r="AC118" i="9"/>
  <c r="AB118" i="9"/>
  <c r="Z118" i="9"/>
  <c r="P118" i="9"/>
  <c r="Q118" i="9" s="1"/>
  <c r="G118" i="9"/>
  <c r="E118" i="9"/>
  <c r="AI117" i="9"/>
  <c r="AH117" i="9"/>
  <c r="AB117" i="9"/>
  <c r="AC117" i="9" s="1"/>
  <c r="Z117" i="9"/>
  <c r="G117" i="9"/>
  <c r="E117" i="9"/>
  <c r="AH116" i="9"/>
  <c r="AI116" i="9" s="1"/>
  <c r="AC116" i="9"/>
  <c r="AB116" i="9"/>
  <c r="Z116" i="9"/>
  <c r="P116" i="9"/>
  <c r="Q116" i="9" s="1"/>
  <c r="G116" i="9"/>
  <c r="E116" i="9"/>
  <c r="AI115" i="9"/>
  <c r="AH115" i="9"/>
  <c r="AC115" i="9"/>
  <c r="AB115" i="9"/>
  <c r="Z115" i="9"/>
  <c r="G115" i="9"/>
  <c r="E115" i="9"/>
  <c r="AH114" i="9"/>
  <c r="AI114" i="9" s="1"/>
  <c r="AC114" i="9"/>
  <c r="AB114" i="9"/>
  <c r="Z114" i="9"/>
  <c r="G114" i="9"/>
  <c r="E114" i="9"/>
  <c r="AI113" i="9"/>
  <c r="AH113" i="9"/>
  <c r="AB113" i="9"/>
  <c r="AC113" i="9" s="1"/>
  <c r="Z113" i="9"/>
  <c r="G113" i="9"/>
  <c r="E113" i="9"/>
  <c r="AH112" i="9"/>
  <c r="AI112" i="9" s="1"/>
  <c r="AB112" i="9"/>
  <c r="AC112" i="9" s="1"/>
  <c r="Z112" i="9"/>
  <c r="P112" i="9"/>
  <c r="G112" i="9"/>
  <c r="E112" i="9"/>
  <c r="AH111" i="9"/>
  <c r="AI111" i="9" s="1"/>
  <c r="AC111" i="9"/>
  <c r="AB111" i="9"/>
  <c r="Z111" i="9"/>
  <c r="P111" i="9"/>
  <c r="G111" i="9"/>
  <c r="E111" i="9"/>
  <c r="AH110" i="9"/>
  <c r="AI110" i="9" s="1"/>
  <c r="AC110" i="9"/>
  <c r="AB110" i="9"/>
  <c r="Z110" i="9"/>
  <c r="P110" i="9"/>
  <c r="G110" i="9"/>
  <c r="E110" i="9"/>
  <c r="AH109" i="9"/>
  <c r="AI109" i="9" s="1"/>
  <c r="AC109" i="9"/>
  <c r="AB109" i="9"/>
  <c r="Z109" i="9"/>
  <c r="P109" i="9"/>
  <c r="G109" i="9"/>
  <c r="E109" i="9"/>
  <c r="AH108" i="9"/>
  <c r="AI108" i="9" s="1"/>
  <c r="AB108" i="9"/>
  <c r="AC108" i="9" s="1"/>
  <c r="Z108" i="9"/>
  <c r="P108" i="9"/>
  <c r="H108" i="9"/>
  <c r="G108" i="9"/>
  <c r="E108" i="9"/>
  <c r="AI107" i="9"/>
  <c r="AH107" i="9"/>
  <c r="AB107" i="9"/>
  <c r="AC107" i="9" s="1"/>
  <c r="Z107" i="9"/>
  <c r="P107" i="9"/>
  <c r="G107" i="9"/>
  <c r="E107" i="9"/>
  <c r="AH106" i="9"/>
  <c r="AI106" i="9" s="1"/>
  <c r="AB106" i="9"/>
  <c r="AC106" i="9" s="1"/>
  <c r="Z106" i="9"/>
  <c r="P106" i="9"/>
  <c r="G106" i="9"/>
  <c r="E106" i="9"/>
  <c r="AI105" i="9"/>
  <c r="AH105" i="9"/>
  <c r="AB105" i="9"/>
  <c r="AC105" i="9" s="1"/>
  <c r="Z105" i="9"/>
  <c r="P105" i="9"/>
  <c r="G105" i="9"/>
  <c r="E105" i="9"/>
  <c r="AI104" i="9"/>
  <c r="AH104" i="9"/>
  <c r="AB104" i="9"/>
  <c r="AC104" i="9" s="1"/>
  <c r="Z104" i="9"/>
  <c r="P104" i="9"/>
  <c r="G104" i="9"/>
  <c r="E104" i="9"/>
  <c r="AI103" i="9"/>
  <c r="AH103" i="9"/>
  <c r="AB103" i="9"/>
  <c r="AC103" i="9" s="1"/>
  <c r="Z103" i="9"/>
  <c r="G103" i="9"/>
  <c r="E103" i="9"/>
  <c r="AH102" i="9"/>
  <c r="AI102" i="9" s="1"/>
  <c r="AC102" i="9"/>
  <c r="AB102" i="9"/>
  <c r="Z102" i="9"/>
  <c r="P102" i="9"/>
  <c r="G102" i="9"/>
  <c r="E102" i="9"/>
  <c r="AH101" i="9"/>
  <c r="AI101" i="9" s="1"/>
  <c r="AC101" i="9"/>
  <c r="AB101" i="9"/>
  <c r="Z101" i="9"/>
  <c r="P101" i="9"/>
  <c r="G101" i="9"/>
  <c r="E101" i="9"/>
  <c r="AH100" i="9"/>
  <c r="AI100" i="9" s="1"/>
  <c r="AB100" i="9"/>
  <c r="AC100" i="9" s="1"/>
  <c r="Z100" i="9"/>
  <c r="G100" i="9"/>
  <c r="E100" i="9"/>
  <c r="AI99" i="9"/>
  <c r="AH99" i="9"/>
  <c r="AB99" i="9"/>
  <c r="AC99" i="9" s="1"/>
  <c r="Z99" i="9"/>
  <c r="G99" i="9"/>
  <c r="E99" i="9"/>
  <c r="AH98" i="9"/>
  <c r="AI98" i="9" s="1"/>
  <c r="AC98" i="9"/>
  <c r="AB98" i="9"/>
  <c r="Z98" i="9"/>
  <c r="P98" i="9"/>
  <c r="G98" i="9"/>
  <c r="E98" i="9"/>
  <c r="AH97" i="9"/>
  <c r="AI97" i="9" s="1"/>
  <c r="AC97" i="9"/>
  <c r="AB97" i="9"/>
  <c r="Z97" i="9"/>
  <c r="P97" i="9"/>
  <c r="Q97" i="9" s="1"/>
  <c r="G97" i="9"/>
  <c r="E97" i="9"/>
  <c r="AI96" i="9"/>
  <c r="AH96" i="9"/>
  <c r="AB96" i="9"/>
  <c r="AC96" i="9" s="1"/>
  <c r="Z96" i="9"/>
  <c r="Q96" i="9"/>
  <c r="P96" i="9"/>
  <c r="G96" i="9"/>
  <c r="E96" i="9"/>
  <c r="AH95" i="9"/>
  <c r="AI95" i="9" s="1"/>
  <c r="AC95" i="9"/>
  <c r="AB95" i="9"/>
  <c r="Z95" i="9"/>
  <c r="P95" i="9"/>
  <c r="Q95" i="9" s="1"/>
  <c r="G95" i="9"/>
  <c r="E95" i="9"/>
  <c r="AH94" i="9"/>
  <c r="AI94" i="9" s="1"/>
  <c r="AB94" i="9"/>
  <c r="AC94" i="9" s="1"/>
  <c r="Z94" i="9"/>
  <c r="P94" i="9"/>
  <c r="Q94" i="9" s="1"/>
  <c r="G94" i="9"/>
  <c r="E94" i="9"/>
  <c r="AH93" i="9"/>
  <c r="AI93" i="9" s="1"/>
  <c r="AB93" i="9"/>
  <c r="AC93" i="9" s="1"/>
  <c r="Z93" i="9"/>
  <c r="P93" i="9"/>
  <c r="Q93" i="9" s="1"/>
  <c r="G93" i="9"/>
  <c r="E93" i="9"/>
  <c r="AI92" i="9"/>
  <c r="AH92" i="9"/>
  <c r="AB92" i="9"/>
  <c r="AC92" i="9" s="1"/>
  <c r="Z92" i="9"/>
  <c r="Q92" i="9"/>
  <c r="P92" i="9"/>
  <c r="G92" i="9"/>
  <c r="E92" i="9"/>
  <c r="AH91" i="9"/>
  <c r="AI91" i="9" s="1"/>
  <c r="AC91" i="9"/>
  <c r="AB91" i="9"/>
  <c r="Z91" i="9"/>
  <c r="Q91" i="9"/>
  <c r="P91" i="9"/>
  <c r="G91" i="9"/>
  <c r="E91" i="9"/>
  <c r="AI90" i="9"/>
  <c r="AH90" i="9"/>
  <c r="AB90" i="9"/>
  <c r="AC90" i="9" s="1"/>
  <c r="Z90" i="9"/>
  <c r="Q90" i="9"/>
  <c r="P90" i="9"/>
  <c r="G90" i="9"/>
  <c r="E90" i="9"/>
  <c r="AH89" i="9"/>
  <c r="AI89" i="9" s="1"/>
  <c r="AB89" i="9"/>
  <c r="AC89" i="9" s="1"/>
  <c r="Z89" i="9"/>
  <c r="P89" i="9"/>
  <c r="Q89" i="9" s="1"/>
  <c r="G89" i="9"/>
  <c r="E89" i="9"/>
  <c r="AI88" i="9"/>
  <c r="AH88" i="9"/>
  <c r="AC88" i="9"/>
  <c r="AB88" i="9"/>
  <c r="Z88" i="9"/>
  <c r="Q88" i="9"/>
  <c r="P88" i="9"/>
  <c r="G88" i="9"/>
  <c r="E88" i="9"/>
  <c r="AH87" i="9"/>
  <c r="AI87" i="9" s="1"/>
  <c r="AB87" i="9"/>
  <c r="AC87" i="9" s="1"/>
  <c r="Z87" i="9"/>
  <c r="P87" i="9"/>
  <c r="G87" i="9"/>
  <c r="E87" i="9"/>
  <c r="AI86" i="9"/>
  <c r="AH86" i="9"/>
  <c r="AB86" i="9"/>
  <c r="AC86" i="9" s="1"/>
  <c r="Z86" i="9"/>
  <c r="Q86" i="9"/>
  <c r="P86" i="9"/>
  <c r="G86" i="9"/>
  <c r="E86" i="9"/>
  <c r="AH85" i="9"/>
  <c r="AI85" i="9" s="1"/>
  <c r="AB85" i="9"/>
  <c r="AC85" i="9" s="1"/>
  <c r="Z85" i="9"/>
  <c r="P85" i="9"/>
  <c r="G85" i="9"/>
  <c r="E85" i="9"/>
  <c r="AI84" i="9"/>
  <c r="AH84" i="9"/>
  <c r="AB84" i="9"/>
  <c r="AC84" i="9" s="1"/>
  <c r="Z84" i="9"/>
  <c r="P84" i="9"/>
  <c r="G84" i="9"/>
  <c r="E84" i="9"/>
  <c r="AI83" i="9"/>
  <c r="AH83" i="9"/>
  <c r="AC83" i="9"/>
  <c r="AB83" i="9"/>
  <c r="Z83" i="9"/>
  <c r="P83" i="9"/>
  <c r="G83" i="9"/>
  <c r="E83" i="9"/>
  <c r="AH82" i="9"/>
  <c r="AI82" i="9" s="1"/>
  <c r="AC82" i="9"/>
  <c r="AB82" i="9"/>
  <c r="Z82" i="9"/>
  <c r="P82" i="9"/>
  <c r="Q82" i="9" s="1"/>
  <c r="G82" i="9"/>
  <c r="E82" i="9"/>
  <c r="AI81" i="9"/>
  <c r="AH81" i="9"/>
  <c r="AB81" i="9"/>
  <c r="AC81" i="9" s="1"/>
  <c r="Z81" i="9"/>
  <c r="P81" i="9"/>
  <c r="G81" i="9"/>
  <c r="E81" i="9"/>
  <c r="AI80" i="9"/>
  <c r="AH80" i="9"/>
  <c r="AC80" i="9"/>
  <c r="AB80" i="9"/>
  <c r="Z80" i="9"/>
  <c r="P80" i="9"/>
  <c r="G80" i="9"/>
  <c r="E80" i="9"/>
  <c r="AH79" i="9"/>
  <c r="AI79" i="9" s="1"/>
  <c r="AB79" i="9"/>
  <c r="AC79" i="9" s="1"/>
  <c r="Z79" i="9"/>
  <c r="P79" i="9"/>
  <c r="G79" i="9"/>
  <c r="E79" i="9"/>
  <c r="AH78" i="9"/>
  <c r="AI78" i="9" s="1"/>
  <c r="AB78" i="9"/>
  <c r="AC78" i="9" s="1"/>
  <c r="Z78" i="9"/>
  <c r="P78" i="9"/>
  <c r="Q78" i="9" s="1"/>
  <c r="G78" i="9"/>
  <c r="E78" i="9"/>
  <c r="AH77" i="9"/>
  <c r="AI77" i="9" s="1"/>
  <c r="AC77" i="9"/>
  <c r="AB77" i="9"/>
  <c r="Z77" i="9"/>
  <c r="P77" i="9"/>
  <c r="G77" i="9"/>
  <c r="E77" i="9"/>
  <c r="AH76" i="9"/>
  <c r="AI76" i="9" s="1"/>
  <c r="AB76" i="9"/>
  <c r="AC76" i="9" s="1"/>
  <c r="Z76" i="9"/>
  <c r="P76" i="9"/>
  <c r="G76" i="9"/>
  <c r="E76" i="9"/>
  <c r="AI75" i="9"/>
  <c r="AH75" i="9"/>
  <c r="AB75" i="9"/>
  <c r="AC75" i="9" s="1"/>
  <c r="Z75" i="9"/>
  <c r="P75" i="9"/>
  <c r="G75" i="9"/>
  <c r="E75" i="9"/>
  <c r="AI74" i="9"/>
  <c r="AH74" i="9"/>
  <c r="AC74" i="9"/>
  <c r="AB74" i="9"/>
  <c r="Z74" i="9"/>
  <c r="P74" i="9"/>
  <c r="G74" i="9"/>
  <c r="E74" i="9"/>
  <c r="AH73" i="9"/>
  <c r="AI73" i="9" s="1"/>
  <c r="AC73" i="9"/>
  <c r="AB73" i="9"/>
  <c r="Z73" i="9"/>
  <c r="P73" i="9"/>
  <c r="G73" i="9"/>
  <c r="E73" i="9"/>
  <c r="AH72" i="9"/>
  <c r="AI72" i="9" s="1"/>
  <c r="AB72" i="9"/>
  <c r="AC72" i="9" s="1"/>
  <c r="Z72" i="9"/>
  <c r="P72" i="9"/>
  <c r="G72" i="9"/>
  <c r="E72" i="9"/>
  <c r="AH71" i="9"/>
  <c r="AI71" i="9" s="1"/>
  <c r="AB71" i="9"/>
  <c r="AC71" i="9" s="1"/>
  <c r="Z71" i="9"/>
  <c r="G71" i="9"/>
  <c r="E71" i="9"/>
  <c r="AH70" i="9"/>
  <c r="AI70" i="9" s="1"/>
  <c r="AB70" i="9"/>
  <c r="AC70" i="9" s="1"/>
  <c r="Z70" i="9"/>
  <c r="P70" i="9"/>
  <c r="Q70" i="9" s="1"/>
  <c r="G70" i="9"/>
  <c r="E70" i="9"/>
  <c r="AH69" i="9"/>
  <c r="AI69" i="9" s="1"/>
  <c r="AC69" i="9"/>
  <c r="AB69" i="9"/>
  <c r="Z69" i="9"/>
  <c r="P69" i="9"/>
  <c r="Q69" i="9" s="1"/>
  <c r="G69" i="9"/>
  <c r="E69" i="9"/>
  <c r="AI68" i="9"/>
  <c r="AH68" i="9"/>
  <c r="AC68" i="9"/>
  <c r="AB68" i="9"/>
  <c r="Z68" i="9"/>
  <c r="Q68" i="9"/>
  <c r="P68" i="9"/>
  <c r="H68" i="9"/>
  <c r="G68" i="9"/>
  <c r="E68" i="9"/>
  <c r="AI67" i="9"/>
  <c r="AH67" i="9"/>
  <c r="AB67" i="9"/>
  <c r="AC67" i="9" s="1"/>
  <c r="Z67" i="9"/>
  <c r="Q67" i="9"/>
  <c r="P67" i="9"/>
  <c r="G67" i="9"/>
  <c r="E67" i="9"/>
  <c r="AH66" i="9"/>
  <c r="AI66" i="9" s="1"/>
  <c r="AB66" i="9"/>
  <c r="AC66" i="9" s="1"/>
  <c r="Z66" i="9"/>
  <c r="G66" i="9"/>
  <c r="E66" i="9"/>
  <c r="AH65" i="9"/>
  <c r="AI65" i="9" s="1"/>
  <c r="AB65" i="9"/>
  <c r="AC65" i="9" s="1"/>
  <c r="Z65" i="9"/>
  <c r="P65" i="9"/>
  <c r="G65" i="9"/>
  <c r="E65" i="9"/>
  <c r="AH64" i="9"/>
  <c r="AI64" i="9" s="1"/>
  <c r="AB64" i="9"/>
  <c r="AC64" i="9" s="1"/>
  <c r="Z64" i="9"/>
  <c r="P64" i="9"/>
  <c r="G64" i="9"/>
  <c r="E64" i="9"/>
  <c r="AI63" i="9"/>
  <c r="AH63" i="9"/>
  <c r="AC63" i="9"/>
  <c r="AB63" i="9"/>
  <c r="Z63" i="9"/>
  <c r="G63" i="9"/>
  <c r="E63" i="9"/>
  <c r="AH62" i="9"/>
  <c r="AI62" i="9" s="1"/>
  <c r="AB62" i="9"/>
  <c r="AC62" i="9" s="1"/>
  <c r="Z62" i="9"/>
  <c r="G62" i="9"/>
  <c r="E62" i="9"/>
  <c r="AH61" i="9"/>
  <c r="AI61" i="9" s="1"/>
  <c r="AB61" i="9"/>
  <c r="AC61" i="9" s="1"/>
  <c r="Z61" i="9"/>
  <c r="P61" i="9"/>
  <c r="G61" i="9"/>
  <c r="E61" i="9"/>
  <c r="AI60" i="9"/>
  <c r="AH60" i="9"/>
  <c r="AC60" i="9"/>
  <c r="AB60" i="9"/>
  <c r="Z60" i="9"/>
  <c r="P60" i="9"/>
  <c r="G60" i="9"/>
  <c r="E60" i="9"/>
  <c r="AI59" i="9"/>
  <c r="AH59" i="9"/>
  <c r="AB59" i="9"/>
  <c r="AC59" i="9" s="1"/>
  <c r="Z59" i="9"/>
  <c r="G59" i="9"/>
  <c r="E59" i="9"/>
  <c r="AI58" i="9"/>
  <c r="AH58" i="9"/>
  <c r="AC58" i="9"/>
  <c r="AB58" i="9"/>
  <c r="Z58" i="9"/>
  <c r="P58" i="9"/>
  <c r="G58" i="9"/>
  <c r="E58" i="9"/>
  <c r="AH57" i="9"/>
  <c r="AI57" i="9" s="1"/>
  <c r="AC57" i="9"/>
  <c r="AB57" i="9"/>
  <c r="Z57" i="9"/>
  <c r="P57" i="9"/>
  <c r="G57" i="9"/>
  <c r="E57" i="9"/>
  <c r="AH56" i="9"/>
  <c r="AI56" i="9" s="1"/>
  <c r="AC56" i="9"/>
  <c r="AB56" i="9"/>
  <c r="Z56" i="9"/>
  <c r="P56" i="9"/>
  <c r="G56" i="9"/>
  <c r="E56" i="9"/>
  <c r="AI55" i="9"/>
  <c r="AH55" i="9"/>
  <c r="AB55" i="9"/>
  <c r="AC55" i="9" s="1"/>
  <c r="Z55" i="9"/>
  <c r="G55" i="9"/>
  <c r="E55" i="9"/>
  <c r="AH54" i="9"/>
  <c r="AI54" i="9" s="1"/>
  <c r="AB54" i="9"/>
  <c r="AC54" i="9" s="1"/>
  <c r="Z54" i="9"/>
  <c r="G54" i="9"/>
  <c r="E54" i="9"/>
  <c r="AH53" i="9"/>
  <c r="AI53" i="9" s="1"/>
  <c r="AB53" i="9"/>
  <c r="AC53" i="9" s="1"/>
  <c r="Z53" i="9"/>
  <c r="G53" i="9"/>
  <c r="E53" i="9"/>
  <c r="AI52" i="9"/>
  <c r="AH52" i="9"/>
  <c r="AB52" i="9"/>
  <c r="AC52" i="9" s="1"/>
  <c r="Z52" i="9"/>
  <c r="G52" i="9"/>
  <c r="E52" i="9"/>
  <c r="AH51" i="9"/>
  <c r="AI51" i="9" s="1"/>
  <c r="AC51" i="9"/>
  <c r="AB51" i="9"/>
  <c r="Z51" i="9"/>
  <c r="P51" i="9"/>
  <c r="G51" i="9"/>
  <c r="E51" i="9"/>
  <c r="AH50" i="9"/>
  <c r="AI50" i="9" s="1"/>
  <c r="AB50" i="9"/>
  <c r="AC50" i="9" s="1"/>
  <c r="Z50" i="9"/>
  <c r="P50" i="9"/>
  <c r="G50" i="9"/>
  <c r="E50" i="9"/>
  <c r="AI49" i="9"/>
  <c r="AH49" i="9"/>
  <c r="AC49" i="9"/>
  <c r="AB49" i="9"/>
  <c r="Z49" i="9"/>
  <c r="P49" i="9"/>
  <c r="Q49" i="9" s="1"/>
  <c r="G49" i="9"/>
  <c r="E49" i="9"/>
  <c r="AH48" i="9"/>
  <c r="AI48" i="9" s="1"/>
  <c r="AB48" i="9"/>
  <c r="AC48" i="9" s="1"/>
  <c r="Z48" i="9"/>
  <c r="P48" i="9"/>
  <c r="Q48" i="9" s="1"/>
  <c r="G48" i="9"/>
  <c r="E48" i="9"/>
  <c r="AI47" i="9"/>
  <c r="AH47" i="9"/>
  <c r="AC47" i="9"/>
  <c r="AB47" i="9"/>
  <c r="Z47" i="9"/>
  <c r="P47" i="9"/>
  <c r="Q47" i="9" s="1"/>
  <c r="G47" i="9"/>
  <c r="E47" i="9"/>
  <c r="AH46" i="9"/>
  <c r="AI46" i="9" s="1"/>
  <c r="AB46" i="9"/>
  <c r="AC46" i="9" s="1"/>
  <c r="Z46" i="9"/>
  <c r="Q46" i="9"/>
  <c r="P46" i="9"/>
  <c r="G46" i="9"/>
  <c r="E46" i="9"/>
  <c r="AH45" i="9"/>
  <c r="AI45" i="9" s="1"/>
  <c r="AC45" i="9"/>
  <c r="AB45" i="9"/>
  <c r="Z45" i="9"/>
  <c r="P45" i="9"/>
  <c r="Q45" i="9" s="1"/>
  <c r="G45" i="9"/>
  <c r="E45" i="9"/>
  <c r="AI44" i="9"/>
  <c r="AH44" i="9"/>
  <c r="AB44" i="9"/>
  <c r="AC44" i="9" s="1"/>
  <c r="Z44" i="9"/>
  <c r="Q44" i="9"/>
  <c r="P44" i="9"/>
  <c r="G44" i="9"/>
  <c r="E44" i="9"/>
  <c r="AH43" i="9"/>
  <c r="AI43" i="9" s="1"/>
  <c r="AB43" i="9"/>
  <c r="AC43" i="9" s="1"/>
  <c r="Z43" i="9"/>
  <c r="P43" i="9"/>
  <c r="G43" i="9"/>
  <c r="E43" i="9"/>
  <c r="AI42" i="9"/>
  <c r="AH42" i="9"/>
  <c r="AC42" i="9"/>
  <c r="AB42" i="9"/>
  <c r="Z42" i="9"/>
  <c r="P42" i="9"/>
  <c r="G42" i="9"/>
  <c r="E42" i="9"/>
  <c r="AI41" i="9"/>
  <c r="AH41" i="9"/>
  <c r="AC41" i="9"/>
  <c r="AB41" i="9"/>
  <c r="Z41" i="9"/>
  <c r="G41" i="9"/>
  <c r="E41" i="9"/>
  <c r="AI40" i="9"/>
  <c r="AH40" i="9"/>
  <c r="AB40" i="9"/>
  <c r="AC40" i="9" s="1"/>
  <c r="Z40" i="9"/>
  <c r="Q40" i="9"/>
  <c r="P40" i="9"/>
  <c r="G40" i="9"/>
  <c r="E40" i="9"/>
  <c r="AH39" i="9"/>
  <c r="AI39" i="9" s="1"/>
  <c r="AC39" i="9"/>
  <c r="AB39" i="9"/>
  <c r="Z39" i="9"/>
  <c r="P39" i="9"/>
  <c r="Q39" i="9" s="1"/>
  <c r="G39" i="9"/>
  <c r="E39" i="9"/>
  <c r="AH38" i="9"/>
  <c r="AI38" i="9" s="1"/>
  <c r="AB38" i="9"/>
  <c r="AC38" i="9" s="1"/>
  <c r="Z38" i="9"/>
  <c r="P38" i="9"/>
  <c r="Q38" i="9" s="1"/>
  <c r="G38" i="9"/>
  <c r="E38" i="9"/>
  <c r="AH37" i="9"/>
  <c r="AI37" i="9" s="1"/>
  <c r="AC37" i="9"/>
  <c r="AB37" i="9"/>
  <c r="Z37" i="9"/>
  <c r="P37" i="9"/>
  <c r="G37" i="9"/>
  <c r="E37" i="9"/>
  <c r="AH36" i="9"/>
  <c r="AI36" i="9" s="1"/>
  <c r="AB36" i="9"/>
  <c r="AC36" i="9" s="1"/>
  <c r="Z36" i="9"/>
  <c r="P36" i="9"/>
  <c r="G36" i="9"/>
  <c r="E36" i="9"/>
  <c r="AI35" i="9"/>
  <c r="AH35" i="9"/>
  <c r="AB35" i="9"/>
  <c r="AC35" i="9" s="1"/>
  <c r="Z35" i="9"/>
  <c r="P35" i="9"/>
  <c r="G35" i="9"/>
  <c r="E35" i="9"/>
  <c r="AH34" i="9"/>
  <c r="AI34" i="9" s="1"/>
  <c r="AC34" i="9"/>
  <c r="AB34" i="9"/>
  <c r="Z34" i="9"/>
  <c r="G34" i="9"/>
  <c r="E34" i="9"/>
  <c r="AI33" i="9"/>
  <c r="AH33" i="9"/>
  <c r="AC33" i="9"/>
  <c r="AB33" i="9"/>
  <c r="Z33" i="9"/>
  <c r="G33" i="9"/>
  <c r="E33" i="9"/>
  <c r="AI32" i="9"/>
  <c r="AH32" i="9"/>
  <c r="AB32" i="9"/>
  <c r="AC32" i="9" s="1"/>
  <c r="Z32" i="9"/>
  <c r="G32" i="9"/>
  <c r="E32" i="9"/>
  <c r="AH31" i="9"/>
  <c r="AI31" i="9" s="1"/>
  <c r="AB31" i="9"/>
  <c r="AC31" i="9" s="1"/>
  <c r="Z31" i="9"/>
  <c r="P31" i="9"/>
  <c r="G31" i="9"/>
  <c r="E31" i="9"/>
  <c r="AI30" i="9"/>
  <c r="AH30" i="9"/>
  <c r="AC30" i="9"/>
  <c r="AB30" i="9"/>
  <c r="Z30" i="9"/>
  <c r="P30" i="9"/>
  <c r="G30" i="9"/>
  <c r="E30" i="9"/>
  <c r="AI29" i="9"/>
  <c r="AH29" i="9"/>
  <c r="AB29" i="9"/>
  <c r="AC29" i="9" s="1"/>
  <c r="Z29" i="9"/>
  <c r="Q29" i="9"/>
  <c r="P29" i="9"/>
  <c r="G29" i="9"/>
  <c r="E29" i="9"/>
  <c r="AI28" i="9"/>
  <c r="AH28" i="9"/>
  <c r="AB28" i="9"/>
  <c r="AC28" i="9" s="1"/>
  <c r="Z28" i="9"/>
  <c r="Q28" i="9"/>
  <c r="P28" i="9"/>
  <c r="G28" i="9"/>
  <c r="E28" i="9"/>
  <c r="AH27" i="9"/>
  <c r="AI27" i="9" s="1"/>
  <c r="AC27" i="9"/>
  <c r="AB27" i="9"/>
  <c r="Z27" i="9"/>
  <c r="P27" i="9"/>
  <c r="Q27" i="9" s="1"/>
  <c r="G27" i="9"/>
  <c r="E27" i="9"/>
  <c r="AH26" i="9"/>
  <c r="AI26" i="9" s="1"/>
  <c r="AC26" i="9"/>
  <c r="AB26" i="9"/>
  <c r="Z26" i="9"/>
  <c r="P26" i="9"/>
  <c r="G26" i="9"/>
  <c r="E26" i="9"/>
  <c r="AI25" i="9"/>
  <c r="AH25" i="9"/>
  <c r="AC25" i="9"/>
  <c r="AB25" i="9"/>
  <c r="Z25" i="9"/>
  <c r="P25" i="9"/>
  <c r="G25" i="9"/>
  <c r="E25" i="9"/>
  <c r="AH24" i="9"/>
  <c r="AI24" i="9" s="1"/>
  <c r="AB24" i="9"/>
  <c r="AC24" i="9" s="1"/>
  <c r="Z24" i="9"/>
  <c r="P24" i="9"/>
  <c r="Q24" i="9" s="1"/>
  <c r="G24" i="9"/>
  <c r="E24" i="9"/>
  <c r="AI23" i="9"/>
  <c r="AH23" i="9"/>
  <c r="AB23" i="9"/>
  <c r="AC23" i="9" s="1"/>
  <c r="Z23" i="9"/>
  <c r="Q23" i="9"/>
  <c r="P23" i="9"/>
  <c r="G23" i="9"/>
  <c r="E23" i="9"/>
  <c r="AI22" i="9"/>
  <c r="AH22" i="9"/>
  <c r="AB22" i="9"/>
  <c r="AC22" i="9" s="1"/>
  <c r="Z22" i="9"/>
  <c r="G22" i="9"/>
  <c r="E22" i="9"/>
  <c r="AH21" i="9"/>
  <c r="AI21" i="9" s="1"/>
  <c r="AB21" i="9"/>
  <c r="AC21" i="9" s="1"/>
  <c r="Z21" i="9"/>
  <c r="G21" i="9"/>
  <c r="E21" i="9"/>
  <c r="AH20" i="9"/>
  <c r="AI20" i="9" s="1"/>
  <c r="AB20" i="9"/>
  <c r="AC20" i="9" s="1"/>
  <c r="Z20" i="9"/>
  <c r="G20" i="9"/>
  <c r="E20" i="9"/>
  <c r="AH19" i="9"/>
  <c r="AI19" i="9" s="1"/>
  <c r="AB19" i="9"/>
  <c r="AC19" i="9" s="1"/>
  <c r="Z19" i="9"/>
  <c r="P19" i="9"/>
  <c r="G19" i="9"/>
  <c r="E19" i="9"/>
  <c r="AH18" i="9"/>
  <c r="AI18" i="9" s="1"/>
  <c r="AB18" i="9"/>
  <c r="AC18" i="9" s="1"/>
  <c r="Z18" i="9"/>
  <c r="P18" i="9"/>
  <c r="G18" i="9"/>
  <c r="E18" i="9"/>
  <c r="AI17" i="9"/>
  <c r="AH17" i="9"/>
  <c r="AC17" i="9"/>
  <c r="AB17" i="9"/>
  <c r="Z17" i="9"/>
  <c r="P17" i="9"/>
  <c r="G17" i="9"/>
  <c r="E17" i="9"/>
  <c r="AI16" i="9"/>
  <c r="AH16" i="9"/>
  <c r="AB16" i="9"/>
  <c r="AC16" i="9" s="1"/>
  <c r="Z16" i="9"/>
  <c r="P16" i="9"/>
  <c r="G16" i="9"/>
  <c r="E16" i="9"/>
  <c r="AH15" i="9"/>
  <c r="AI15" i="9" s="1"/>
  <c r="AC15" i="9"/>
  <c r="AB15" i="9"/>
  <c r="Z15" i="9"/>
  <c r="P15" i="9"/>
  <c r="H15" i="9"/>
  <c r="G15" i="9"/>
  <c r="E15" i="9"/>
  <c r="AI14" i="9"/>
  <c r="AH14" i="9"/>
  <c r="AC14" i="9"/>
  <c r="AB14" i="9"/>
  <c r="Z14" i="9"/>
  <c r="P14" i="9"/>
  <c r="G14" i="9"/>
  <c r="E14" i="9"/>
  <c r="AH13" i="9"/>
  <c r="AI13" i="9" s="1"/>
  <c r="AC13" i="9"/>
  <c r="AB13" i="9"/>
  <c r="Z13" i="9"/>
  <c r="G13" i="9"/>
  <c r="E13" i="9"/>
  <c r="AI12" i="9"/>
  <c r="AH12" i="9"/>
  <c r="AB12" i="9"/>
  <c r="AC12" i="9" s="1"/>
  <c r="Z12" i="9"/>
  <c r="P12" i="9"/>
  <c r="G12" i="9"/>
  <c r="E12" i="9"/>
  <c r="AH11" i="9"/>
  <c r="AI11" i="9" s="1"/>
  <c r="AB11" i="9"/>
  <c r="AC11" i="9" s="1"/>
  <c r="Z11" i="9"/>
  <c r="G11" i="9"/>
  <c r="E11" i="9"/>
  <c r="AH10" i="9"/>
  <c r="AI10" i="9" s="1"/>
  <c r="AC10" i="9"/>
  <c r="AB10" i="9"/>
  <c r="Z10" i="9"/>
  <c r="G10" i="9"/>
  <c r="E10" i="9"/>
  <c r="AI9" i="9"/>
  <c r="AH9" i="9"/>
  <c r="AB9" i="9"/>
  <c r="AC9" i="9" s="1"/>
  <c r="Z9" i="9"/>
  <c r="P9" i="9"/>
  <c r="G9" i="9"/>
  <c r="E9" i="9"/>
  <c r="AH8" i="9"/>
  <c r="AI8" i="9" s="1"/>
  <c r="AB8" i="9"/>
  <c r="AC8" i="9" s="1"/>
  <c r="Z8" i="9"/>
  <c r="G8" i="9"/>
  <c r="E8" i="9"/>
  <c r="AH7" i="9"/>
  <c r="AI7" i="9" s="1"/>
  <c r="AC7" i="9"/>
  <c r="AB7" i="9"/>
  <c r="Z7" i="9"/>
  <c r="G7" i="9"/>
  <c r="E7" i="9"/>
  <c r="AI6" i="9"/>
  <c r="AH6" i="9"/>
  <c r="AB6" i="9"/>
  <c r="AC6" i="9" s="1"/>
  <c r="Z6" i="9"/>
  <c r="G6" i="9"/>
  <c r="E6" i="9"/>
  <c r="AH5" i="9"/>
  <c r="AI5" i="9" s="1"/>
  <c r="AC5" i="9"/>
  <c r="AB5" i="9"/>
  <c r="Z5" i="9"/>
  <c r="G5" i="9"/>
  <c r="E5" i="9"/>
  <c r="AI4" i="9"/>
  <c r="AH4" i="9"/>
  <c r="AC4" i="9"/>
  <c r="AB4" i="9"/>
  <c r="Z4" i="9"/>
  <c r="G4" i="9"/>
  <c r="E4" i="9"/>
  <c r="AI3" i="9"/>
  <c r="AH3" i="9"/>
  <c r="AB3" i="9"/>
  <c r="AC3" i="9" s="1"/>
  <c r="Z3" i="9"/>
  <c r="G3" i="9"/>
  <c r="E3" i="9"/>
  <c r="AI2" i="9"/>
  <c r="AH2" i="9"/>
  <c r="AB2" i="9"/>
  <c r="AC2" i="9" s="1"/>
  <c r="Z2" i="9"/>
  <c r="X2" i="9"/>
  <c r="P2" i="9"/>
  <c r="G2" i="9"/>
  <c r="E2" i="9"/>
  <c r="D13" i="2"/>
  <c r="B13" i="2"/>
  <c r="X229" i="8"/>
  <c r="X230" i="8" s="1"/>
  <c r="Y227" i="8"/>
  <c r="E25" i="6" l="1"/>
  <c r="AC4" i="8"/>
  <c r="AD4" i="8" s="1"/>
  <c r="W4" i="8"/>
  <c r="X4" i="8" s="1"/>
  <c r="AC224" i="8"/>
  <c r="AD224" i="8" s="1"/>
  <c r="AC223" i="8"/>
  <c r="AD223" i="8" s="1"/>
  <c r="AC222" i="8"/>
  <c r="AD222" i="8" s="1"/>
  <c r="AC221" i="8"/>
  <c r="AD221" i="8" s="1"/>
  <c r="AC220" i="8"/>
  <c r="AD220" i="8" s="1"/>
  <c r="AC219" i="8"/>
  <c r="AD219" i="8" s="1"/>
  <c r="AC218" i="8"/>
  <c r="AD218" i="8" s="1"/>
  <c r="AC217" i="8"/>
  <c r="AD217" i="8" s="1"/>
  <c r="AC216" i="8"/>
  <c r="AD216" i="8" s="1"/>
  <c r="AC215" i="8"/>
  <c r="AD215" i="8" s="1"/>
  <c r="AC214" i="8"/>
  <c r="AD214" i="8" s="1"/>
  <c r="AC213" i="8"/>
  <c r="AD213" i="8" s="1"/>
  <c r="AC212" i="8"/>
  <c r="AD212" i="8" s="1"/>
  <c r="AC211" i="8"/>
  <c r="AD211" i="8" s="1"/>
  <c r="AC210" i="8"/>
  <c r="AD210" i="8" s="1"/>
  <c r="AC209" i="8"/>
  <c r="AD209" i="8" s="1"/>
  <c r="AC208" i="8"/>
  <c r="AD208" i="8" s="1"/>
  <c r="AC207" i="8"/>
  <c r="AD207" i="8" s="1"/>
  <c r="AC206" i="8"/>
  <c r="AD206" i="8" s="1"/>
  <c r="AC205" i="8"/>
  <c r="AD205" i="8" s="1"/>
  <c r="AC204" i="8"/>
  <c r="AD204" i="8" s="1"/>
  <c r="AC203" i="8"/>
  <c r="AD203" i="8" s="1"/>
  <c r="AC202" i="8"/>
  <c r="AD202" i="8" s="1"/>
  <c r="AC201" i="8"/>
  <c r="AD201" i="8" s="1"/>
  <c r="AC200" i="8"/>
  <c r="AD200" i="8" s="1"/>
  <c r="AC199" i="8"/>
  <c r="AD199" i="8" s="1"/>
  <c r="AC198" i="8"/>
  <c r="AD198" i="8" s="1"/>
  <c r="AC197" i="8"/>
  <c r="AD197" i="8" s="1"/>
  <c r="AC196" i="8"/>
  <c r="AD196" i="8" s="1"/>
  <c r="AC195" i="8"/>
  <c r="AD195" i="8" s="1"/>
  <c r="AC194" i="8"/>
  <c r="AD194" i="8" s="1"/>
  <c r="AC193" i="8"/>
  <c r="AD193" i="8" s="1"/>
  <c r="AC192" i="8"/>
  <c r="AD192" i="8" s="1"/>
  <c r="AC191" i="8"/>
  <c r="AD191" i="8" s="1"/>
  <c r="AC190" i="8"/>
  <c r="AD190" i="8" s="1"/>
  <c r="AC189" i="8"/>
  <c r="AD189" i="8" s="1"/>
  <c r="AC188" i="8"/>
  <c r="AD188" i="8" s="1"/>
  <c r="AC187" i="8"/>
  <c r="AD187" i="8" s="1"/>
  <c r="AC186" i="8"/>
  <c r="AD186" i="8" s="1"/>
  <c r="AC185" i="8"/>
  <c r="AD185" i="8" s="1"/>
  <c r="AC184" i="8"/>
  <c r="AD184" i="8" s="1"/>
  <c r="AC183" i="8"/>
  <c r="AD183" i="8" s="1"/>
  <c r="AC182" i="8"/>
  <c r="AD182" i="8" s="1"/>
  <c r="AC181" i="8"/>
  <c r="AD181" i="8" s="1"/>
  <c r="AC180" i="8"/>
  <c r="AD180" i="8" s="1"/>
  <c r="AC179" i="8"/>
  <c r="AD179" i="8" s="1"/>
  <c r="AC178" i="8"/>
  <c r="AD178" i="8" s="1"/>
  <c r="AC177" i="8"/>
  <c r="AD177" i="8" s="1"/>
  <c r="AC176" i="8"/>
  <c r="AD176" i="8" s="1"/>
  <c r="AC175" i="8"/>
  <c r="AD175" i="8" s="1"/>
  <c r="AC174" i="8"/>
  <c r="AD174" i="8" s="1"/>
  <c r="AC173" i="8"/>
  <c r="AD173" i="8" s="1"/>
  <c r="AC172" i="8"/>
  <c r="AD172" i="8" s="1"/>
  <c r="AC171" i="8"/>
  <c r="AD171" i="8" s="1"/>
  <c r="AC170" i="8"/>
  <c r="AD170" i="8" s="1"/>
  <c r="AC169" i="8"/>
  <c r="AD169" i="8" s="1"/>
  <c r="AC168" i="8"/>
  <c r="AD168" i="8" s="1"/>
  <c r="AC167" i="8"/>
  <c r="AD167" i="8" s="1"/>
  <c r="AC166" i="8"/>
  <c r="AD166" i="8" s="1"/>
  <c r="AC165" i="8"/>
  <c r="AD165" i="8" s="1"/>
  <c r="AC164" i="8"/>
  <c r="AD164" i="8" s="1"/>
  <c r="AC163" i="8"/>
  <c r="AD163" i="8" s="1"/>
  <c r="AC162" i="8"/>
  <c r="AD162" i="8" s="1"/>
  <c r="AC161" i="8"/>
  <c r="AD161" i="8" s="1"/>
  <c r="AC160" i="8"/>
  <c r="AD160" i="8" s="1"/>
  <c r="AC159" i="8"/>
  <c r="AD159" i="8" s="1"/>
  <c r="AC158" i="8"/>
  <c r="AD158" i="8" s="1"/>
  <c r="AC157" i="8"/>
  <c r="AD157" i="8" s="1"/>
  <c r="AC156" i="8"/>
  <c r="AD156" i="8" s="1"/>
  <c r="AC155" i="8"/>
  <c r="AD155" i="8" s="1"/>
  <c r="AC154" i="8"/>
  <c r="AD154" i="8" s="1"/>
  <c r="AC153" i="8"/>
  <c r="AD153" i="8" s="1"/>
  <c r="AC152" i="8"/>
  <c r="AD152" i="8" s="1"/>
  <c r="AC151" i="8"/>
  <c r="AD151" i="8" s="1"/>
  <c r="AC150" i="8"/>
  <c r="AD150" i="8" s="1"/>
  <c r="AC149" i="8"/>
  <c r="AD149" i="8" s="1"/>
  <c r="AC148" i="8"/>
  <c r="AD148" i="8" s="1"/>
  <c r="AC147" i="8"/>
  <c r="AD147" i="8" s="1"/>
  <c r="AC146" i="8"/>
  <c r="AD146" i="8" s="1"/>
  <c r="AC145" i="8"/>
  <c r="AD145" i="8" s="1"/>
  <c r="AC144" i="8"/>
  <c r="AD144" i="8" s="1"/>
  <c r="AC143" i="8"/>
  <c r="AD143" i="8" s="1"/>
  <c r="AC142" i="8"/>
  <c r="AD142" i="8" s="1"/>
  <c r="AC141" i="8"/>
  <c r="AD141" i="8" s="1"/>
  <c r="AC140" i="8"/>
  <c r="AD140" i="8" s="1"/>
  <c r="AC139" i="8"/>
  <c r="AD139" i="8" s="1"/>
  <c r="AC138" i="8"/>
  <c r="AD138" i="8" s="1"/>
  <c r="AC137" i="8"/>
  <c r="AD137" i="8" s="1"/>
  <c r="AC136" i="8"/>
  <c r="AD136" i="8" s="1"/>
  <c r="AC135" i="8"/>
  <c r="AD135" i="8" s="1"/>
  <c r="AC134" i="8"/>
  <c r="AD134" i="8" s="1"/>
  <c r="AC133" i="8"/>
  <c r="AD133" i="8" s="1"/>
  <c r="AC132" i="8"/>
  <c r="AD132" i="8" s="1"/>
  <c r="AC131" i="8"/>
  <c r="AD131" i="8" s="1"/>
  <c r="AC130" i="8"/>
  <c r="AD130" i="8" s="1"/>
  <c r="AC129" i="8"/>
  <c r="AD129" i="8" s="1"/>
  <c r="AC128" i="8"/>
  <c r="AD128" i="8" s="1"/>
  <c r="AC127" i="8"/>
  <c r="AD127" i="8" s="1"/>
  <c r="AC126" i="8"/>
  <c r="AD126" i="8" s="1"/>
  <c r="AC125" i="8"/>
  <c r="AD125" i="8" s="1"/>
  <c r="AC124" i="8"/>
  <c r="AD124" i="8" s="1"/>
  <c r="AC123" i="8"/>
  <c r="AD123" i="8" s="1"/>
  <c r="AC122" i="8"/>
  <c r="AD122" i="8" s="1"/>
  <c r="AC121" i="8"/>
  <c r="AD121" i="8" s="1"/>
  <c r="AC120" i="8"/>
  <c r="AD120" i="8" s="1"/>
  <c r="AC119" i="8"/>
  <c r="AD119" i="8" s="1"/>
  <c r="AC118" i="8"/>
  <c r="AD118" i="8" s="1"/>
  <c r="AC117" i="8"/>
  <c r="AD117" i="8" s="1"/>
  <c r="AC116" i="8"/>
  <c r="AD116" i="8" s="1"/>
  <c r="AC115" i="8"/>
  <c r="AD115" i="8" s="1"/>
  <c r="AC114" i="8"/>
  <c r="AD114" i="8" s="1"/>
  <c r="AC113" i="8"/>
  <c r="AD113" i="8" s="1"/>
  <c r="AC112" i="8"/>
  <c r="AD112" i="8" s="1"/>
  <c r="AC111" i="8"/>
  <c r="AD111" i="8" s="1"/>
  <c r="AC110" i="8"/>
  <c r="AD110" i="8" s="1"/>
  <c r="AC109" i="8"/>
  <c r="AD109" i="8" s="1"/>
  <c r="AC108" i="8"/>
  <c r="AD108" i="8" s="1"/>
  <c r="AC107" i="8"/>
  <c r="AD107" i="8" s="1"/>
  <c r="AC106" i="8"/>
  <c r="AD106" i="8" s="1"/>
  <c r="AC105" i="8"/>
  <c r="AD105" i="8" s="1"/>
  <c r="AC104" i="8"/>
  <c r="AD104" i="8" s="1"/>
  <c r="AC103" i="8"/>
  <c r="AD103" i="8" s="1"/>
  <c r="AC102" i="8"/>
  <c r="AD102" i="8" s="1"/>
  <c r="AC101" i="8"/>
  <c r="AD101" i="8" s="1"/>
  <c r="AC100" i="8"/>
  <c r="AD100" i="8" s="1"/>
  <c r="AC99" i="8"/>
  <c r="AD99" i="8" s="1"/>
  <c r="AC98" i="8"/>
  <c r="AD98" i="8" s="1"/>
  <c r="AC97" i="8"/>
  <c r="AD97" i="8" s="1"/>
  <c r="AC96" i="8"/>
  <c r="AD96" i="8" s="1"/>
  <c r="AC95" i="8"/>
  <c r="AD95" i="8" s="1"/>
  <c r="AC94" i="8"/>
  <c r="AD94" i="8" s="1"/>
  <c r="AC93" i="8"/>
  <c r="AD93" i="8" s="1"/>
  <c r="AC92" i="8"/>
  <c r="AD92" i="8" s="1"/>
  <c r="AC91" i="8"/>
  <c r="AD91" i="8" s="1"/>
  <c r="AC90" i="8"/>
  <c r="AD90" i="8" s="1"/>
  <c r="AC89" i="8"/>
  <c r="AD89" i="8" s="1"/>
  <c r="AC88" i="8"/>
  <c r="AD88" i="8" s="1"/>
  <c r="AC87" i="8"/>
  <c r="AD87" i="8" s="1"/>
  <c r="AC86" i="8"/>
  <c r="AD86" i="8" s="1"/>
  <c r="AC85" i="8"/>
  <c r="AD85" i="8" s="1"/>
  <c r="AC84" i="8"/>
  <c r="AD84" i="8" s="1"/>
  <c r="AC83" i="8"/>
  <c r="AD83" i="8" s="1"/>
  <c r="AC82" i="8"/>
  <c r="AD82" i="8" s="1"/>
  <c r="AC81" i="8"/>
  <c r="AD81" i="8" s="1"/>
  <c r="AC80" i="8"/>
  <c r="AD80" i="8" s="1"/>
  <c r="AC79" i="8"/>
  <c r="AD79" i="8" s="1"/>
  <c r="AC78" i="8"/>
  <c r="AD78" i="8" s="1"/>
  <c r="AC77" i="8"/>
  <c r="AD77" i="8" s="1"/>
  <c r="AC76" i="8"/>
  <c r="AD76" i="8" s="1"/>
  <c r="AC75" i="8"/>
  <c r="AD75" i="8" s="1"/>
  <c r="AC74" i="8"/>
  <c r="AD74" i="8" s="1"/>
  <c r="AC73" i="8"/>
  <c r="AD73" i="8" s="1"/>
  <c r="AC72" i="8"/>
  <c r="AD72" i="8" s="1"/>
  <c r="AC71" i="8"/>
  <c r="AD71" i="8" s="1"/>
  <c r="AC70" i="8"/>
  <c r="AD70" i="8" s="1"/>
  <c r="AC69" i="8"/>
  <c r="AD69" i="8" s="1"/>
  <c r="AC68" i="8"/>
  <c r="AD68" i="8" s="1"/>
  <c r="AC67" i="8"/>
  <c r="AD67" i="8" s="1"/>
  <c r="AC66" i="8"/>
  <c r="AD66" i="8" s="1"/>
  <c r="AC65" i="8"/>
  <c r="AD65" i="8" s="1"/>
  <c r="AC64" i="8"/>
  <c r="AD64" i="8" s="1"/>
  <c r="AC63" i="8"/>
  <c r="AD63" i="8" s="1"/>
  <c r="AC62" i="8"/>
  <c r="AD62" i="8" s="1"/>
  <c r="AC61" i="8"/>
  <c r="AD61" i="8" s="1"/>
  <c r="AC60" i="8"/>
  <c r="AD60" i="8" s="1"/>
  <c r="AC59" i="8"/>
  <c r="AD59" i="8" s="1"/>
  <c r="AC58" i="8"/>
  <c r="AD58" i="8" s="1"/>
  <c r="AC57" i="8"/>
  <c r="AD57" i="8" s="1"/>
  <c r="AC56" i="8"/>
  <c r="AD56" i="8" s="1"/>
  <c r="AC55" i="8"/>
  <c r="AD55" i="8" s="1"/>
  <c r="AC54" i="8"/>
  <c r="AD54" i="8" s="1"/>
  <c r="AC53" i="8"/>
  <c r="AD53" i="8" s="1"/>
  <c r="AC52" i="8"/>
  <c r="AD52" i="8" s="1"/>
  <c r="AC51" i="8"/>
  <c r="AD51" i="8" s="1"/>
  <c r="AC50" i="8"/>
  <c r="AD50" i="8" s="1"/>
  <c r="AC49" i="8"/>
  <c r="AD49" i="8" s="1"/>
  <c r="AC48" i="8"/>
  <c r="AD48" i="8" s="1"/>
  <c r="AC47" i="8"/>
  <c r="AD47" i="8" s="1"/>
  <c r="AC46" i="8"/>
  <c r="AD46" i="8" s="1"/>
  <c r="AC45" i="8"/>
  <c r="AD45" i="8" s="1"/>
  <c r="AC44" i="8"/>
  <c r="AD44" i="8" s="1"/>
  <c r="AC43" i="8"/>
  <c r="AD43" i="8" s="1"/>
  <c r="AC42" i="8"/>
  <c r="AD42" i="8" s="1"/>
  <c r="AC41" i="8"/>
  <c r="AD41" i="8" s="1"/>
  <c r="AC40" i="8"/>
  <c r="AD40" i="8" s="1"/>
  <c r="AC39" i="8"/>
  <c r="AD39" i="8" s="1"/>
  <c r="AC38" i="8"/>
  <c r="AD38" i="8" s="1"/>
  <c r="AC37" i="8"/>
  <c r="AD37" i="8" s="1"/>
  <c r="AC36" i="8"/>
  <c r="AD36" i="8" s="1"/>
  <c r="AC35" i="8"/>
  <c r="AD35" i="8" s="1"/>
  <c r="AC34" i="8"/>
  <c r="AD34" i="8" s="1"/>
  <c r="AC33" i="8"/>
  <c r="AD33" i="8" s="1"/>
  <c r="AC32" i="8"/>
  <c r="AD32" i="8" s="1"/>
  <c r="AC31" i="8"/>
  <c r="AD31" i="8" s="1"/>
  <c r="AC30" i="8"/>
  <c r="AD30" i="8" s="1"/>
  <c r="AC29" i="8"/>
  <c r="AD29" i="8" s="1"/>
  <c r="AC28" i="8"/>
  <c r="AD28" i="8" s="1"/>
  <c r="AC27" i="8"/>
  <c r="AD27" i="8" s="1"/>
  <c r="AC26" i="8"/>
  <c r="AD26" i="8" s="1"/>
  <c r="AC25" i="8"/>
  <c r="AD25" i="8" s="1"/>
  <c r="AC24" i="8"/>
  <c r="AD24" i="8" s="1"/>
  <c r="AC23" i="8"/>
  <c r="AD23" i="8" s="1"/>
  <c r="AC22" i="8"/>
  <c r="AD22" i="8" s="1"/>
  <c r="AC21" i="8"/>
  <c r="AD21" i="8" s="1"/>
  <c r="AC20" i="8"/>
  <c r="AD20" i="8" s="1"/>
  <c r="AC19" i="8"/>
  <c r="AD19" i="8" s="1"/>
  <c r="AC18" i="8"/>
  <c r="AD18" i="8" s="1"/>
  <c r="AC17" i="8"/>
  <c r="AD17" i="8" s="1"/>
  <c r="AC16" i="8"/>
  <c r="AD16" i="8" s="1"/>
  <c r="AC15" i="8"/>
  <c r="AD15" i="8" s="1"/>
  <c r="AC14" i="8"/>
  <c r="AD14" i="8" s="1"/>
  <c r="AC13" i="8"/>
  <c r="AD13" i="8" s="1"/>
  <c r="AC12" i="8"/>
  <c r="AD12" i="8" s="1"/>
  <c r="AC11" i="8"/>
  <c r="AD11" i="8" s="1"/>
  <c r="AC10" i="8"/>
  <c r="AD10" i="8" s="1"/>
  <c r="AC9" i="8"/>
  <c r="AD9" i="8" s="1"/>
  <c r="AC8" i="8"/>
  <c r="AD8" i="8" s="1"/>
  <c r="AC7" i="8"/>
  <c r="AD7" i="8" s="1"/>
  <c r="AC6" i="8"/>
  <c r="AD6" i="8" s="1"/>
  <c r="AC5" i="8"/>
  <c r="AD5" i="8" s="1"/>
  <c r="AC3" i="8"/>
  <c r="AD3" i="8" s="1"/>
  <c r="W224" i="8"/>
  <c r="X224" i="8" s="1"/>
  <c r="W223" i="8"/>
  <c r="X223" i="8" s="1"/>
  <c r="W222" i="8"/>
  <c r="X222" i="8" s="1"/>
  <c r="W221" i="8"/>
  <c r="X221" i="8" s="1"/>
  <c r="W220" i="8"/>
  <c r="X220" i="8" s="1"/>
  <c r="W219" i="8"/>
  <c r="X219" i="8" s="1"/>
  <c r="W218" i="8"/>
  <c r="X218" i="8" s="1"/>
  <c r="W217" i="8"/>
  <c r="X217" i="8" s="1"/>
  <c r="W216" i="8"/>
  <c r="X216" i="8" s="1"/>
  <c r="W215" i="8"/>
  <c r="X215" i="8" s="1"/>
  <c r="W214" i="8"/>
  <c r="X214" i="8" s="1"/>
  <c r="W213" i="8"/>
  <c r="X213" i="8" s="1"/>
  <c r="W212" i="8"/>
  <c r="X212" i="8" s="1"/>
  <c r="W211" i="8"/>
  <c r="X211" i="8" s="1"/>
  <c r="W210" i="8"/>
  <c r="X210" i="8" s="1"/>
  <c r="W209" i="8"/>
  <c r="X209" i="8" s="1"/>
  <c r="W208" i="8"/>
  <c r="X208" i="8" s="1"/>
  <c r="W207" i="8"/>
  <c r="X207" i="8" s="1"/>
  <c r="W206" i="8"/>
  <c r="X206" i="8" s="1"/>
  <c r="W205" i="8"/>
  <c r="X205" i="8" s="1"/>
  <c r="W204" i="8"/>
  <c r="X204" i="8" s="1"/>
  <c r="W203" i="8"/>
  <c r="X203" i="8" s="1"/>
  <c r="W202" i="8"/>
  <c r="X202" i="8" s="1"/>
  <c r="W201" i="8"/>
  <c r="X201" i="8" s="1"/>
  <c r="W200" i="8"/>
  <c r="X200" i="8" s="1"/>
  <c r="W199" i="8"/>
  <c r="X199" i="8" s="1"/>
  <c r="W198" i="8"/>
  <c r="X198" i="8" s="1"/>
  <c r="W197" i="8"/>
  <c r="X197" i="8" s="1"/>
  <c r="W196" i="8"/>
  <c r="X196" i="8" s="1"/>
  <c r="W195" i="8"/>
  <c r="X195" i="8" s="1"/>
  <c r="W194" i="8"/>
  <c r="X194" i="8" s="1"/>
  <c r="W193" i="8"/>
  <c r="X193" i="8" s="1"/>
  <c r="W192" i="8"/>
  <c r="X192" i="8" s="1"/>
  <c r="W191" i="8"/>
  <c r="X191" i="8" s="1"/>
  <c r="W190" i="8"/>
  <c r="X190" i="8" s="1"/>
  <c r="W189" i="8"/>
  <c r="X189" i="8" s="1"/>
  <c r="W188" i="8"/>
  <c r="X188" i="8" s="1"/>
  <c r="W187" i="8"/>
  <c r="X187" i="8" s="1"/>
  <c r="W186" i="8"/>
  <c r="X186" i="8" s="1"/>
  <c r="W185" i="8"/>
  <c r="X185" i="8" s="1"/>
  <c r="W184" i="8"/>
  <c r="X184" i="8" s="1"/>
  <c r="W183" i="8"/>
  <c r="X183" i="8" s="1"/>
  <c r="W182" i="8"/>
  <c r="X182" i="8" s="1"/>
  <c r="W181" i="8"/>
  <c r="X181" i="8" s="1"/>
  <c r="W180" i="8"/>
  <c r="X180" i="8" s="1"/>
  <c r="W179" i="8"/>
  <c r="X179" i="8" s="1"/>
  <c r="W178" i="8"/>
  <c r="X178" i="8" s="1"/>
  <c r="W177" i="8"/>
  <c r="X177" i="8" s="1"/>
  <c r="W176" i="8"/>
  <c r="X176" i="8" s="1"/>
  <c r="W175" i="8"/>
  <c r="X175" i="8" s="1"/>
  <c r="W174" i="8"/>
  <c r="X174" i="8" s="1"/>
  <c r="W173" i="8"/>
  <c r="X173" i="8" s="1"/>
  <c r="W172" i="8"/>
  <c r="X172" i="8" s="1"/>
  <c r="W171" i="8"/>
  <c r="X171" i="8" s="1"/>
  <c r="W170" i="8"/>
  <c r="X170" i="8" s="1"/>
  <c r="W169" i="8"/>
  <c r="X169" i="8" s="1"/>
  <c r="W168" i="8"/>
  <c r="X168" i="8" s="1"/>
  <c r="W167" i="8"/>
  <c r="X167" i="8" s="1"/>
  <c r="W166" i="8"/>
  <c r="X166" i="8" s="1"/>
  <c r="W165" i="8"/>
  <c r="X165" i="8" s="1"/>
  <c r="W164" i="8"/>
  <c r="X164" i="8" s="1"/>
  <c r="W163" i="8"/>
  <c r="X163" i="8" s="1"/>
  <c r="W162" i="8"/>
  <c r="X162" i="8" s="1"/>
  <c r="W161" i="8"/>
  <c r="X161" i="8" s="1"/>
  <c r="W160" i="8"/>
  <c r="X160" i="8" s="1"/>
  <c r="W159" i="8"/>
  <c r="X159" i="8" s="1"/>
  <c r="W158" i="8"/>
  <c r="X158" i="8" s="1"/>
  <c r="W157" i="8"/>
  <c r="X157" i="8" s="1"/>
  <c r="W156" i="8"/>
  <c r="X156" i="8" s="1"/>
  <c r="W155" i="8"/>
  <c r="X155" i="8" s="1"/>
  <c r="W154" i="8"/>
  <c r="X154" i="8" s="1"/>
  <c r="W153" i="8"/>
  <c r="X153" i="8" s="1"/>
  <c r="W152" i="8"/>
  <c r="X152" i="8" s="1"/>
  <c r="W151" i="8"/>
  <c r="X151" i="8" s="1"/>
  <c r="W150" i="8"/>
  <c r="X150" i="8" s="1"/>
  <c r="W149" i="8"/>
  <c r="X149" i="8" s="1"/>
  <c r="W148" i="8"/>
  <c r="X148" i="8" s="1"/>
  <c r="W147" i="8"/>
  <c r="X147" i="8" s="1"/>
  <c r="W146" i="8"/>
  <c r="X146" i="8" s="1"/>
  <c r="W145" i="8"/>
  <c r="X145" i="8" s="1"/>
  <c r="W144" i="8"/>
  <c r="X144" i="8" s="1"/>
  <c r="W143" i="8"/>
  <c r="X143" i="8" s="1"/>
  <c r="W142" i="8"/>
  <c r="X142" i="8" s="1"/>
  <c r="W141" i="8"/>
  <c r="X141" i="8" s="1"/>
  <c r="W140" i="8"/>
  <c r="X140" i="8" s="1"/>
  <c r="W139" i="8"/>
  <c r="X139" i="8" s="1"/>
  <c r="W138" i="8"/>
  <c r="X138" i="8" s="1"/>
  <c r="W137" i="8"/>
  <c r="X137" i="8" s="1"/>
  <c r="W136" i="8"/>
  <c r="X136" i="8" s="1"/>
  <c r="W135" i="8"/>
  <c r="X135" i="8" s="1"/>
  <c r="W134" i="8"/>
  <c r="X134" i="8" s="1"/>
  <c r="W133" i="8"/>
  <c r="X133" i="8" s="1"/>
  <c r="W132" i="8"/>
  <c r="X132" i="8" s="1"/>
  <c r="W131" i="8"/>
  <c r="X131" i="8" s="1"/>
  <c r="W130" i="8"/>
  <c r="X130" i="8" s="1"/>
  <c r="W129" i="8"/>
  <c r="X129" i="8" s="1"/>
  <c r="W128" i="8"/>
  <c r="X128" i="8" s="1"/>
  <c r="W127" i="8"/>
  <c r="X127" i="8" s="1"/>
  <c r="W126" i="8"/>
  <c r="X126" i="8" s="1"/>
  <c r="W125" i="8"/>
  <c r="X125" i="8" s="1"/>
  <c r="W124" i="8"/>
  <c r="X124" i="8" s="1"/>
  <c r="W123" i="8"/>
  <c r="X123" i="8" s="1"/>
  <c r="W122" i="8"/>
  <c r="X122" i="8" s="1"/>
  <c r="W121" i="8"/>
  <c r="X121" i="8" s="1"/>
  <c r="W120" i="8"/>
  <c r="X120" i="8" s="1"/>
  <c r="W119" i="8"/>
  <c r="X119" i="8" s="1"/>
  <c r="W118" i="8"/>
  <c r="X118" i="8" s="1"/>
  <c r="W117" i="8"/>
  <c r="X117" i="8" s="1"/>
  <c r="W116" i="8"/>
  <c r="X116" i="8" s="1"/>
  <c r="W115" i="8"/>
  <c r="X115" i="8" s="1"/>
  <c r="W114" i="8"/>
  <c r="X114" i="8" s="1"/>
  <c r="W113" i="8"/>
  <c r="X113" i="8" s="1"/>
  <c r="W112" i="8"/>
  <c r="X112" i="8" s="1"/>
  <c r="W111" i="8"/>
  <c r="X111" i="8" s="1"/>
  <c r="W110" i="8"/>
  <c r="X110" i="8" s="1"/>
  <c r="W109" i="8"/>
  <c r="X109" i="8" s="1"/>
  <c r="W108" i="8"/>
  <c r="X108" i="8" s="1"/>
  <c r="W107" i="8"/>
  <c r="X107" i="8" s="1"/>
  <c r="W106" i="8"/>
  <c r="X106" i="8" s="1"/>
  <c r="W105" i="8"/>
  <c r="X105" i="8" s="1"/>
  <c r="W104" i="8"/>
  <c r="X104" i="8" s="1"/>
  <c r="W103" i="8"/>
  <c r="X103" i="8" s="1"/>
  <c r="W102" i="8"/>
  <c r="X102" i="8" s="1"/>
  <c r="W101" i="8"/>
  <c r="X101" i="8" s="1"/>
  <c r="W100" i="8"/>
  <c r="X100" i="8" s="1"/>
  <c r="W99" i="8"/>
  <c r="X99" i="8" s="1"/>
  <c r="W98" i="8"/>
  <c r="X98" i="8" s="1"/>
  <c r="W97" i="8"/>
  <c r="X97" i="8" s="1"/>
  <c r="W96" i="8"/>
  <c r="X96" i="8" s="1"/>
  <c r="W95" i="8"/>
  <c r="X95" i="8" s="1"/>
  <c r="W94" i="8"/>
  <c r="X94" i="8" s="1"/>
  <c r="W93" i="8"/>
  <c r="X93" i="8" s="1"/>
  <c r="W92" i="8"/>
  <c r="X92" i="8" s="1"/>
  <c r="W91" i="8"/>
  <c r="X91" i="8" s="1"/>
  <c r="W90" i="8"/>
  <c r="X90" i="8" s="1"/>
  <c r="W89" i="8"/>
  <c r="X89" i="8" s="1"/>
  <c r="W88" i="8"/>
  <c r="X88" i="8" s="1"/>
  <c r="W87" i="8"/>
  <c r="X87" i="8" s="1"/>
  <c r="W86" i="8"/>
  <c r="X86" i="8" s="1"/>
  <c r="W85" i="8"/>
  <c r="X85" i="8" s="1"/>
  <c r="W84" i="8"/>
  <c r="X84" i="8" s="1"/>
  <c r="W83" i="8"/>
  <c r="X83" i="8" s="1"/>
  <c r="W82" i="8"/>
  <c r="X82" i="8" s="1"/>
  <c r="W81" i="8"/>
  <c r="X81" i="8" s="1"/>
  <c r="W80" i="8"/>
  <c r="X80" i="8" s="1"/>
  <c r="W79" i="8"/>
  <c r="X79" i="8" s="1"/>
  <c r="W78" i="8"/>
  <c r="X78" i="8" s="1"/>
  <c r="W77" i="8"/>
  <c r="X77" i="8" s="1"/>
  <c r="W76" i="8"/>
  <c r="X76" i="8" s="1"/>
  <c r="W75" i="8"/>
  <c r="X75" i="8" s="1"/>
  <c r="W74" i="8"/>
  <c r="X74" i="8" s="1"/>
  <c r="W73" i="8"/>
  <c r="X73" i="8" s="1"/>
  <c r="W72" i="8"/>
  <c r="X72" i="8" s="1"/>
  <c r="W71" i="8"/>
  <c r="X71" i="8" s="1"/>
  <c r="W70" i="8"/>
  <c r="X70" i="8" s="1"/>
  <c r="W69" i="8"/>
  <c r="X69" i="8" s="1"/>
  <c r="W68" i="8"/>
  <c r="X68" i="8" s="1"/>
  <c r="W67" i="8"/>
  <c r="X67" i="8" s="1"/>
  <c r="W66" i="8"/>
  <c r="X66" i="8" s="1"/>
  <c r="W65" i="8"/>
  <c r="X65" i="8" s="1"/>
  <c r="W64" i="8"/>
  <c r="X64" i="8" s="1"/>
  <c r="W63" i="8"/>
  <c r="X63" i="8" s="1"/>
  <c r="W62" i="8"/>
  <c r="X62" i="8" s="1"/>
  <c r="W61" i="8"/>
  <c r="X61" i="8" s="1"/>
  <c r="W60" i="8"/>
  <c r="X60" i="8" s="1"/>
  <c r="W59" i="8"/>
  <c r="X59" i="8" s="1"/>
  <c r="W58" i="8"/>
  <c r="X58" i="8" s="1"/>
  <c r="W57" i="8"/>
  <c r="X57" i="8" s="1"/>
  <c r="W56" i="8"/>
  <c r="X56" i="8" s="1"/>
  <c r="W55" i="8"/>
  <c r="X55" i="8" s="1"/>
  <c r="W54" i="8"/>
  <c r="X54" i="8" s="1"/>
  <c r="W53" i="8"/>
  <c r="X53" i="8" s="1"/>
  <c r="W52" i="8"/>
  <c r="X52" i="8" s="1"/>
  <c r="W51" i="8"/>
  <c r="X51" i="8" s="1"/>
  <c r="W50" i="8"/>
  <c r="X50" i="8" s="1"/>
  <c r="W49" i="8"/>
  <c r="X49" i="8" s="1"/>
  <c r="W48" i="8"/>
  <c r="X48" i="8" s="1"/>
  <c r="W47" i="8"/>
  <c r="X47" i="8" s="1"/>
  <c r="W46" i="8"/>
  <c r="X46" i="8" s="1"/>
  <c r="W45" i="8"/>
  <c r="X45" i="8" s="1"/>
  <c r="W44" i="8"/>
  <c r="X44" i="8" s="1"/>
  <c r="W43" i="8"/>
  <c r="X43" i="8" s="1"/>
  <c r="W42" i="8"/>
  <c r="X42" i="8" s="1"/>
  <c r="W41" i="8"/>
  <c r="X41" i="8" s="1"/>
  <c r="W40" i="8"/>
  <c r="X40" i="8" s="1"/>
  <c r="W39" i="8"/>
  <c r="X39" i="8" s="1"/>
  <c r="W38" i="8"/>
  <c r="X38" i="8" s="1"/>
  <c r="W37" i="8"/>
  <c r="X37" i="8" s="1"/>
  <c r="W36" i="8"/>
  <c r="X36" i="8" s="1"/>
  <c r="W35" i="8"/>
  <c r="X35" i="8" s="1"/>
  <c r="W34" i="8"/>
  <c r="X34" i="8" s="1"/>
  <c r="W33" i="8"/>
  <c r="X33" i="8" s="1"/>
  <c r="W32" i="8"/>
  <c r="X32" i="8" s="1"/>
  <c r="W31" i="8"/>
  <c r="X31" i="8" s="1"/>
  <c r="W30" i="8"/>
  <c r="X30" i="8" s="1"/>
  <c r="W29" i="8"/>
  <c r="X29" i="8" s="1"/>
  <c r="W28" i="8"/>
  <c r="X28" i="8" s="1"/>
  <c r="W27" i="8"/>
  <c r="X27" i="8" s="1"/>
  <c r="W26" i="8"/>
  <c r="X26" i="8" s="1"/>
  <c r="W25" i="8"/>
  <c r="X25" i="8" s="1"/>
  <c r="W24" i="8"/>
  <c r="X24" i="8" s="1"/>
  <c r="W23" i="8"/>
  <c r="X23" i="8" s="1"/>
  <c r="W22" i="8"/>
  <c r="X22" i="8" s="1"/>
  <c r="W21" i="8"/>
  <c r="X21" i="8" s="1"/>
  <c r="W20" i="8"/>
  <c r="X20" i="8" s="1"/>
  <c r="W19" i="8"/>
  <c r="X19" i="8" s="1"/>
  <c r="W18" i="8"/>
  <c r="X18" i="8" s="1"/>
  <c r="W17" i="8"/>
  <c r="X17" i="8" s="1"/>
  <c r="W16" i="8"/>
  <c r="X16" i="8" s="1"/>
  <c r="W15" i="8"/>
  <c r="X15" i="8" s="1"/>
  <c r="W14" i="8"/>
  <c r="X14" i="8" s="1"/>
  <c r="W13" i="8"/>
  <c r="X13" i="8" s="1"/>
  <c r="W12" i="8"/>
  <c r="X12" i="8" s="1"/>
  <c r="W11" i="8"/>
  <c r="X11" i="8" s="1"/>
  <c r="W10" i="8"/>
  <c r="X10" i="8" s="1"/>
  <c r="W9" i="8"/>
  <c r="X9" i="8" s="1"/>
  <c r="W8" i="8"/>
  <c r="X8" i="8" s="1"/>
  <c r="W7" i="8"/>
  <c r="X7" i="8" s="1"/>
  <c r="W6" i="8"/>
  <c r="X6" i="8" s="1"/>
  <c r="W5" i="8"/>
  <c r="X5" i="8" s="1"/>
  <c r="W3" i="8"/>
  <c r="X3" i="8" s="1"/>
  <c r="E27" i="6"/>
  <c r="C44" i="2"/>
  <c r="C4" i="2"/>
  <c r="E9" i="6" l="1"/>
  <c r="AD216" i="9"/>
  <c r="AE216" i="9" s="1"/>
  <c r="AF216" i="9" s="1"/>
  <c r="AJ213" i="9"/>
  <c r="AK213" i="9" s="1"/>
  <c r="AL213" i="9" s="1"/>
  <c r="AD208" i="9"/>
  <c r="AE208" i="9" s="1"/>
  <c r="AF208" i="9" s="1"/>
  <c r="AD204" i="9"/>
  <c r="AE204" i="9" s="1"/>
  <c r="AF204" i="9" s="1"/>
  <c r="AD200" i="9"/>
  <c r="AE200" i="9" s="1"/>
  <c r="AF200" i="9" s="1"/>
  <c r="AD196" i="9"/>
  <c r="AE196" i="9" s="1"/>
  <c r="AF196" i="9" s="1"/>
  <c r="AD192" i="9"/>
  <c r="AE192" i="9" s="1"/>
  <c r="AF192" i="9" s="1"/>
  <c r="AD188" i="9"/>
  <c r="AE188" i="9" s="1"/>
  <c r="AF188" i="9" s="1"/>
  <c r="AD184" i="9"/>
  <c r="AE184" i="9" s="1"/>
  <c r="AF184" i="9" s="1"/>
  <c r="AD180" i="9"/>
  <c r="AE180" i="9" s="1"/>
  <c r="AF180" i="9" s="1"/>
  <c r="AJ178" i="9"/>
  <c r="AK178" i="9" s="1"/>
  <c r="AL178" i="9" s="1"/>
  <c r="AD175" i="9"/>
  <c r="AE175" i="9" s="1"/>
  <c r="AF175" i="9" s="1"/>
  <c r="AD171" i="9"/>
  <c r="AE171" i="9" s="1"/>
  <c r="AF171" i="9" s="1"/>
  <c r="AJ168" i="9"/>
  <c r="AK168" i="9" s="1"/>
  <c r="AL168" i="9" s="1"/>
  <c r="AD163" i="9"/>
  <c r="AE163" i="9" s="1"/>
  <c r="AF163" i="9" s="1"/>
  <c r="AD223" i="9"/>
  <c r="AE223" i="9" s="1"/>
  <c r="AF223" i="9" s="1"/>
  <c r="AD220" i="9"/>
  <c r="AE220" i="9" s="1"/>
  <c r="AF220" i="9" s="1"/>
  <c r="AJ214" i="9"/>
  <c r="AK214" i="9" s="1"/>
  <c r="AL214" i="9" s="1"/>
  <c r="AD209" i="9"/>
  <c r="AE209" i="9" s="1"/>
  <c r="AF209" i="9" s="1"/>
  <c r="AJ207" i="9"/>
  <c r="AK207" i="9" s="1"/>
  <c r="AL207" i="9" s="1"/>
  <c r="AJ203" i="9"/>
  <c r="AK203" i="9" s="1"/>
  <c r="AL203" i="9" s="1"/>
  <c r="AJ199" i="9"/>
  <c r="AK199" i="9" s="1"/>
  <c r="AL199" i="9" s="1"/>
  <c r="AJ195" i="9"/>
  <c r="AK195" i="9" s="1"/>
  <c r="AL195" i="9" s="1"/>
  <c r="AJ191" i="9"/>
  <c r="AK191" i="9" s="1"/>
  <c r="AL191" i="9" s="1"/>
  <c r="AJ187" i="9"/>
  <c r="AK187" i="9" s="1"/>
  <c r="AL187" i="9" s="1"/>
  <c r="AJ183" i="9"/>
  <c r="AK183" i="9" s="1"/>
  <c r="AL183" i="9" s="1"/>
  <c r="AJ179" i="9"/>
  <c r="AK179" i="9" s="1"/>
  <c r="AL179" i="9" s="1"/>
  <c r="AJ174" i="9"/>
  <c r="AK174" i="9" s="1"/>
  <c r="AL174" i="9" s="1"/>
  <c r="AJ169" i="9"/>
  <c r="AK169" i="9" s="1"/>
  <c r="AL169" i="9" s="1"/>
  <c r="AD164" i="9"/>
  <c r="AE164" i="9" s="1"/>
  <c r="AF164" i="9" s="1"/>
  <c r="AJ222" i="9"/>
  <c r="AK222" i="9" s="1"/>
  <c r="AL222" i="9" s="1"/>
  <c r="AJ219" i="9"/>
  <c r="AK219" i="9" s="1"/>
  <c r="AL219" i="9" s="1"/>
  <c r="AJ215" i="9"/>
  <c r="AK215" i="9" s="1"/>
  <c r="AL215" i="9" s="1"/>
  <c r="AD210" i="9"/>
  <c r="AE210" i="9" s="1"/>
  <c r="AF210" i="9" s="1"/>
  <c r="AD205" i="9"/>
  <c r="AE205" i="9" s="1"/>
  <c r="AF205" i="9" s="1"/>
  <c r="AD201" i="9"/>
  <c r="AE201" i="9" s="1"/>
  <c r="AF201" i="9" s="1"/>
  <c r="AD197" i="9"/>
  <c r="AE197" i="9" s="1"/>
  <c r="AF197" i="9" s="1"/>
  <c r="AD193" i="9"/>
  <c r="AE193" i="9" s="1"/>
  <c r="AF193" i="9" s="1"/>
  <c r="AD189" i="9"/>
  <c r="AE189" i="9" s="1"/>
  <c r="AF189" i="9" s="1"/>
  <c r="AD185" i="9"/>
  <c r="AE185" i="9" s="1"/>
  <c r="AF185" i="9" s="1"/>
  <c r="AD181" i="9"/>
  <c r="AE181" i="9" s="1"/>
  <c r="AF181" i="9" s="1"/>
  <c r="AD176" i="9"/>
  <c r="AE176" i="9" s="1"/>
  <c r="AF176" i="9" s="1"/>
  <c r="AD172" i="9"/>
  <c r="AE172" i="9" s="1"/>
  <c r="AF172" i="9" s="1"/>
  <c r="AJ170" i="9"/>
  <c r="AK170" i="9" s="1"/>
  <c r="AL170" i="9" s="1"/>
  <c r="AD165" i="9"/>
  <c r="AE165" i="9" s="1"/>
  <c r="AF165" i="9" s="1"/>
  <c r="AJ162" i="9"/>
  <c r="AK162" i="9" s="1"/>
  <c r="AL162" i="9" s="1"/>
  <c r="AJ154" i="9"/>
  <c r="AK154" i="9" s="1"/>
  <c r="AL154" i="9" s="1"/>
  <c r="AD150" i="9"/>
  <c r="AE150" i="9" s="1"/>
  <c r="AF150" i="9" s="1"/>
  <c r="AJ149" i="9"/>
  <c r="AK149" i="9" s="1"/>
  <c r="AL149" i="9" s="1"/>
  <c r="AD145" i="9"/>
  <c r="AE145" i="9" s="1"/>
  <c r="AF145" i="9" s="1"/>
  <c r="AD217" i="9"/>
  <c r="AE217" i="9" s="1"/>
  <c r="AF217" i="9" s="1"/>
  <c r="AJ216" i="9"/>
  <c r="AK216" i="9" s="1"/>
  <c r="AL216" i="9" s="1"/>
  <c r="AD211" i="9"/>
  <c r="AE211" i="9" s="1"/>
  <c r="AF211" i="9" s="1"/>
  <c r="AJ208" i="9"/>
  <c r="AK208" i="9" s="1"/>
  <c r="AL208" i="9" s="1"/>
  <c r="AJ204" i="9"/>
  <c r="AK204" i="9" s="1"/>
  <c r="AL204" i="9" s="1"/>
  <c r="AJ200" i="9"/>
  <c r="AK200" i="9" s="1"/>
  <c r="AL200" i="9" s="1"/>
  <c r="AJ196" i="9"/>
  <c r="AK196" i="9" s="1"/>
  <c r="AL196" i="9" s="1"/>
  <c r="AJ192" i="9"/>
  <c r="AK192" i="9" s="1"/>
  <c r="AL192" i="9" s="1"/>
  <c r="AJ188" i="9"/>
  <c r="AK188" i="9" s="1"/>
  <c r="AL188" i="9" s="1"/>
  <c r="AJ184" i="9"/>
  <c r="AK184" i="9" s="1"/>
  <c r="AL184" i="9" s="1"/>
  <c r="AJ180" i="9"/>
  <c r="AK180" i="9" s="1"/>
  <c r="AL180" i="9" s="1"/>
  <c r="AJ175" i="9"/>
  <c r="AK175" i="9" s="1"/>
  <c r="AL175" i="9" s="1"/>
  <c r="AJ171" i="9"/>
  <c r="AK171" i="9" s="1"/>
  <c r="AL171" i="9" s="1"/>
  <c r="AD166" i="9"/>
  <c r="AE166" i="9" s="1"/>
  <c r="AF166" i="9" s="1"/>
  <c r="AJ163" i="9"/>
  <c r="AK163" i="9" s="1"/>
  <c r="AL163" i="9" s="1"/>
  <c r="AD160" i="9"/>
  <c r="AE160" i="9" s="1"/>
  <c r="AF160" i="9" s="1"/>
  <c r="AJ159" i="9"/>
  <c r="AK159" i="9" s="1"/>
  <c r="AL159" i="9" s="1"/>
  <c r="AD156" i="9"/>
  <c r="AE156" i="9" s="1"/>
  <c r="AF156" i="9" s="1"/>
  <c r="AD146" i="9"/>
  <c r="AE146" i="9" s="1"/>
  <c r="AF146" i="9" s="1"/>
  <c r="AJ223" i="9"/>
  <c r="AK223" i="9" s="1"/>
  <c r="AL223" i="9" s="1"/>
  <c r="AD221" i="9"/>
  <c r="AE221" i="9" s="1"/>
  <c r="AF221" i="9" s="1"/>
  <c r="AJ220" i="9"/>
  <c r="AK220" i="9" s="1"/>
  <c r="AL220" i="9" s="1"/>
  <c r="AD218" i="9"/>
  <c r="AE218" i="9" s="1"/>
  <c r="AF218" i="9" s="1"/>
  <c r="AD212" i="9"/>
  <c r="AE212" i="9" s="1"/>
  <c r="AF212" i="9" s="1"/>
  <c r="AJ209" i="9"/>
  <c r="AK209" i="9" s="1"/>
  <c r="AL209" i="9" s="1"/>
  <c r="AD206" i="9"/>
  <c r="AE206" i="9" s="1"/>
  <c r="AF206" i="9" s="1"/>
  <c r="AD202" i="9"/>
  <c r="AE202" i="9" s="1"/>
  <c r="AF202" i="9" s="1"/>
  <c r="AD198" i="9"/>
  <c r="AE198" i="9" s="1"/>
  <c r="AF198" i="9" s="1"/>
  <c r="AD194" i="9"/>
  <c r="AE194" i="9" s="1"/>
  <c r="AF194" i="9" s="1"/>
  <c r="AD190" i="9"/>
  <c r="AE190" i="9" s="1"/>
  <c r="AF190" i="9" s="1"/>
  <c r="AD186" i="9"/>
  <c r="AE186" i="9" s="1"/>
  <c r="AF186" i="9" s="1"/>
  <c r="AD182" i="9"/>
  <c r="AE182" i="9" s="1"/>
  <c r="AF182" i="9" s="1"/>
  <c r="AD213" i="9"/>
  <c r="AE213" i="9" s="1"/>
  <c r="AF213" i="9" s="1"/>
  <c r="AJ210" i="9"/>
  <c r="AK210" i="9" s="1"/>
  <c r="AL210" i="9" s="1"/>
  <c r="AJ205" i="9"/>
  <c r="AK205" i="9" s="1"/>
  <c r="AL205" i="9" s="1"/>
  <c r="AJ201" i="9"/>
  <c r="AK201" i="9" s="1"/>
  <c r="AL201" i="9" s="1"/>
  <c r="AJ197" i="9"/>
  <c r="AK197" i="9" s="1"/>
  <c r="AL197" i="9" s="1"/>
  <c r="AJ193" i="9"/>
  <c r="AK193" i="9" s="1"/>
  <c r="AL193" i="9" s="1"/>
  <c r="AJ189" i="9"/>
  <c r="AK189" i="9" s="1"/>
  <c r="AL189" i="9" s="1"/>
  <c r="AJ185" i="9"/>
  <c r="AK185" i="9" s="1"/>
  <c r="AL185" i="9" s="1"/>
  <c r="AJ181" i="9"/>
  <c r="AK181" i="9" s="1"/>
  <c r="AL181" i="9" s="1"/>
  <c r="AJ217" i="9"/>
  <c r="AK217" i="9" s="1"/>
  <c r="AL217" i="9" s="1"/>
  <c r="AD214" i="9"/>
  <c r="AE214" i="9" s="1"/>
  <c r="AF214" i="9" s="1"/>
  <c r="AJ211" i="9"/>
  <c r="AK211" i="9" s="1"/>
  <c r="AL211" i="9" s="1"/>
  <c r="AD207" i="9"/>
  <c r="AE207" i="9" s="1"/>
  <c r="AF207" i="9" s="1"/>
  <c r="AD203" i="9"/>
  <c r="AE203" i="9" s="1"/>
  <c r="AF203" i="9" s="1"/>
  <c r="AD199" i="9"/>
  <c r="AE199" i="9" s="1"/>
  <c r="AF199" i="9" s="1"/>
  <c r="AD195" i="9"/>
  <c r="AE195" i="9" s="1"/>
  <c r="AF195" i="9" s="1"/>
  <c r="AJ177" i="9"/>
  <c r="AK177" i="9" s="1"/>
  <c r="AL177" i="9" s="1"/>
  <c r="AD174" i="9"/>
  <c r="AE174" i="9" s="1"/>
  <c r="AF174" i="9" s="1"/>
  <c r="AJ164" i="9"/>
  <c r="AK164" i="9" s="1"/>
  <c r="AL164" i="9" s="1"/>
  <c r="AD161" i="9"/>
  <c r="AE161" i="9" s="1"/>
  <c r="AF161" i="9" s="1"/>
  <c r="AJ160" i="9"/>
  <c r="AK160" i="9" s="1"/>
  <c r="AL160" i="9" s="1"/>
  <c r="AJ151" i="9"/>
  <c r="AK151" i="9" s="1"/>
  <c r="AL151" i="9" s="1"/>
  <c r="AJ147" i="9"/>
  <c r="AK147" i="9" s="1"/>
  <c r="AL147" i="9" s="1"/>
  <c r="AJ142" i="9"/>
  <c r="AK142" i="9" s="1"/>
  <c r="AL142" i="9" s="1"/>
  <c r="AD139" i="9"/>
  <c r="AE139" i="9" s="1"/>
  <c r="AF139" i="9" s="1"/>
  <c r="AJ137" i="9"/>
  <c r="AK137" i="9" s="1"/>
  <c r="AL137" i="9" s="1"/>
  <c r="AD131" i="9"/>
  <c r="AE131" i="9" s="1"/>
  <c r="AF131" i="9" s="1"/>
  <c r="AD126" i="9"/>
  <c r="AE126" i="9" s="1"/>
  <c r="AF126" i="9" s="1"/>
  <c r="AD215" i="9"/>
  <c r="AE215" i="9" s="1"/>
  <c r="AF215" i="9" s="1"/>
  <c r="AJ212" i="9"/>
  <c r="AK212" i="9" s="1"/>
  <c r="AL212" i="9" s="1"/>
  <c r="AJ206" i="9"/>
  <c r="AK206" i="9" s="1"/>
  <c r="AL206" i="9" s="1"/>
  <c r="AJ173" i="9"/>
  <c r="AK173" i="9" s="1"/>
  <c r="AL173" i="9" s="1"/>
  <c r="AD170" i="9"/>
  <c r="AE170" i="9" s="1"/>
  <c r="AF170" i="9" s="1"/>
  <c r="AJ167" i="9"/>
  <c r="AK167" i="9" s="1"/>
  <c r="AL167" i="9" s="1"/>
  <c r="AD157" i="9"/>
  <c r="AE157" i="9" s="1"/>
  <c r="AF157" i="9" s="1"/>
  <c r="AD155" i="9"/>
  <c r="AE155" i="9" s="1"/>
  <c r="AF155" i="9" s="1"/>
  <c r="AJ221" i="9"/>
  <c r="AK221" i="9" s="1"/>
  <c r="AL221" i="9" s="1"/>
  <c r="AD219" i="9"/>
  <c r="AE219" i="9" s="1"/>
  <c r="AF219" i="9" s="1"/>
  <c r="AD179" i="9"/>
  <c r="AE179" i="9" s="1"/>
  <c r="AF179" i="9" s="1"/>
  <c r="AD177" i="9"/>
  <c r="AE177" i="9" s="1"/>
  <c r="AF177" i="9" s="1"/>
  <c r="AJ176" i="9"/>
  <c r="AK176" i="9" s="1"/>
  <c r="AL176" i="9" s="1"/>
  <c r="AJ156" i="9"/>
  <c r="AK156" i="9" s="1"/>
  <c r="AL156" i="9" s="1"/>
  <c r="AJ152" i="9"/>
  <c r="AK152" i="9" s="1"/>
  <c r="AL152" i="9" s="1"/>
  <c r="AJ148" i="9"/>
  <c r="AK148" i="9" s="1"/>
  <c r="AL148" i="9" s="1"/>
  <c r="AJ143" i="9"/>
  <c r="AK143" i="9" s="1"/>
  <c r="AL143" i="9" s="1"/>
  <c r="AD133" i="9"/>
  <c r="AE133" i="9" s="1"/>
  <c r="AF133" i="9" s="1"/>
  <c r="AJ130" i="9"/>
  <c r="AK130" i="9" s="1"/>
  <c r="AL130" i="9" s="1"/>
  <c r="AD127" i="9"/>
  <c r="AE127" i="9" s="1"/>
  <c r="AF127" i="9" s="1"/>
  <c r="AJ115" i="9"/>
  <c r="AK115" i="9" s="1"/>
  <c r="AL115" i="9" s="1"/>
  <c r="AD110" i="9"/>
  <c r="AE110" i="9" s="1"/>
  <c r="AF110" i="9" s="1"/>
  <c r="AJ104" i="9"/>
  <c r="AK104" i="9" s="1"/>
  <c r="AL104" i="9" s="1"/>
  <c r="AD102" i="9"/>
  <c r="AE102" i="9" s="1"/>
  <c r="AF102" i="9" s="1"/>
  <c r="AD93" i="9"/>
  <c r="AE93" i="9" s="1"/>
  <c r="AF93" i="9" s="1"/>
  <c r="AJ90" i="9"/>
  <c r="AK90" i="9" s="1"/>
  <c r="AL90" i="9" s="1"/>
  <c r="AJ194" i="9"/>
  <c r="AK194" i="9" s="1"/>
  <c r="AL194" i="9" s="1"/>
  <c r="AD191" i="9"/>
  <c r="AE191" i="9" s="1"/>
  <c r="AF191" i="9" s="1"/>
  <c r="AJ190" i="9"/>
  <c r="AK190" i="9" s="1"/>
  <c r="AL190" i="9" s="1"/>
  <c r="AD173" i="9"/>
  <c r="AE173" i="9" s="1"/>
  <c r="AF173" i="9" s="1"/>
  <c r="AJ172" i="9"/>
  <c r="AK172" i="9" s="1"/>
  <c r="AL172" i="9" s="1"/>
  <c r="AD169" i="9"/>
  <c r="AE169" i="9" s="1"/>
  <c r="AF169" i="9" s="1"/>
  <c r="AD167" i="9"/>
  <c r="AE167" i="9" s="1"/>
  <c r="AF167" i="9" s="1"/>
  <c r="AD162" i="9"/>
  <c r="AE162" i="9" s="1"/>
  <c r="AF162" i="9" s="1"/>
  <c r="AD158" i="9"/>
  <c r="AE158" i="9" s="1"/>
  <c r="AF158" i="9" s="1"/>
  <c r="AD151" i="9"/>
  <c r="AE151" i="9" s="1"/>
  <c r="AF151" i="9" s="1"/>
  <c r="AJ150" i="9"/>
  <c r="AK150" i="9" s="1"/>
  <c r="AL150" i="9" s="1"/>
  <c r="AD147" i="9"/>
  <c r="AE147" i="9" s="1"/>
  <c r="AF147" i="9" s="1"/>
  <c r="AD141" i="9"/>
  <c r="AE141" i="9" s="1"/>
  <c r="AF141" i="9" s="1"/>
  <c r="AJ139" i="9"/>
  <c r="AK139" i="9" s="1"/>
  <c r="AL139" i="9" s="1"/>
  <c r="AD135" i="9"/>
  <c r="AE135" i="9" s="1"/>
  <c r="AF135" i="9" s="1"/>
  <c r="AD134" i="9"/>
  <c r="AE134" i="9" s="1"/>
  <c r="AF134" i="9" s="1"/>
  <c r="AJ131" i="9"/>
  <c r="AK131" i="9" s="1"/>
  <c r="AL131" i="9" s="1"/>
  <c r="AJ126" i="9"/>
  <c r="AK126" i="9" s="1"/>
  <c r="AL126" i="9" s="1"/>
  <c r="AD121" i="9"/>
  <c r="AE121" i="9" s="1"/>
  <c r="AF121" i="9" s="1"/>
  <c r="AJ120" i="9"/>
  <c r="AK120" i="9" s="1"/>
  <c r="AL120" i="9" s="1"/>
  <c r="AD117" i="9"/>
  <c r="AE117" i="9" s="1"/>
  <c r="AF117" i="9" s="1"/>
  <c r="AJ116" i="9"/>
  <c r="AK116" i="9" s="1"/>
  <c r="AL116" i="9" s="1"/>
  <c r="AJ109" i="9"/>
  <c r="AK109" i="9" s="1"/>
  <c r="AL109" i="9" s="1"/>
  <c r="AD106" i="9"/>
  <c r="AE106" i="9" s="1"/>
  <c r="AF106" i="9" s="1"/>
  <c r="AJ166" i="9"/>
  <c r="AK166" i="9" s="1"/>
  <c r="AL166" i="9" s="1"/>
  <c r="AJ161" i="9"/>
  <c r="AK161" i="9" s="1"/>
  <c r="AL161" i="9" s="1"/>
  <c r="AJ155" i="9"/>
  <c r="AK155" i="9" s="1"/>
  <c r="AL155" i="9" s="1"/>
  <c r="AD154" i="9"/>
  <c r="AE154" i="9" s="1"/>
  <c r="AF154" i="9" s="1"/>
  <c r="AJ144" i="9"/>
  <c r="AK144" i="9" s="1"/>
  <c r="AL144" i="9" s="1"/>
  <c r="AJ140" i="9"/>
  <c r="AK140" i="9" s="1"/>
  <c r="AL140" i="9" s="1"/>
  <c r="AD136" i="9"/>
  <c r="AE136" i="9" s="1"/>
  <c r="AF136" i="9" s="1"/>
  <c r="AJ132" i="9"/>
  <c r="AK132" i="9" s="1"/>
  <c r="AL132" i="9" s="1"/>
  <c r="AD128" i="9"/>
  <c r="AE128" i="9" s="1"/>
  <c r="AF128" i="9" s="1"/>
  <c r="AD124" i="9"/>
  <c r="AE124" i="9" s="1"/>
  <c r="AF124" i="9" s="1"/>
  <c r="AJ123" i="9"/>
  <c r="AK123" i="9" s="1"/>
  <c r="AL123" i="9" s="1"/>
  <c r="AD118" i="9"/>
  <c r="AE118" i="9" s="1"/>
  <c r="AF118" i="9" s="1"/>
  <c r="AD114" i="9"/>
  <c r="AE114" i="9" s="1"/>
  <c r="AF114" i="9" s="1"/>
  <c r="AJ113" i="9"/>
  <c r="AK113" i="9" s="1"/>
  <c r="AL113" i="9" s="1"/>
  <c r="AD111" i="9"/>
  <c r="AE111" i="9" s="1"/>
  <c r="AF111" i="9" s="1"/>
  <c r="AJ105" i="9"/>
  <c r="AK105" i="9" s="1"/>
  <c r="AL105" i="9" s="1"/>
  <c r="AD95" i="9"/>
  <c r="AE95" i="9" s="1"/>
  <c r="AF95" i="9" s="1"/>
  <c r="AD222" i="9"/>
  <c r="AE222" i="9" s="1"/>
  <c r="AF222" i="9" s="1"/>
  <c r="AJ198" i="9"/>
  <c r="AK198" i="9" s="1"/>
  <c r="AL198" i="9" s="1"/>
  <c r="AD187" i="9"/>
  <c r="AE187" i="9" s="1"/>
  <c r="AF187" i="9" s="1"/>
  <c r="AJ186" i="9"/>
  <c r="AK186" i="9" s="1"/>
  <c r="AL186" i="9" s="1"/>
  <c r="AJ157" i="9"/>
  <c r="AK157" i="9" s="1"/>
  <c r="AL157" i="9" s="1"/>
  <c r="AJ153" i="9"/>
  <c r="AK153" i="9" s="1"/>
  <c r="AL153" i="9" s="1"/>
  <c r="AJ146" i="9"/>
  <c r="AK146" i="9" s="1"/>
  <c r="AL146" i="9" s="1"/>
  <c r="AD142" i="9"/>
  <c r="AE142" i="9" s="1"/>
  <c r="AF142" i="9" s="1"/>
  <c r="AD137" i="9"/>
  <c r="AE137" i="9" s="1"/>
  <c r="AF137" i="9" s="1"/>
  <c r="AJ133" i="9"/>
  <c r="AK133" i="9" s="1"/>
  <c r="AL133" i="9" s="1"/>
  <c r="AJ127" i="9"/>
  <c r="AK127" i="9" s="1"/>
  <c r="AL127" i="9" s="1"/>
  <c r="AD178" i="9"/>
  <c r="AE178" i="9" s="1"/>
  <c r="AF178" i="9" s="1"/>
  <c r="AD159" i="9"/>
  <c r="AE159" i="9" s="1"/>
  <c r="AF159" i="9" s="1"/>
  <c r="AD152" i="9"/>
  <c r="AE152" i="9" s="1"/>
  <c r="AF152" i="9" s="1"/>
  <c r="AD148" i="9"/>
  <c r="AE148" i="9" s="1"/>
  <c r="AF148" i="9" s="1"/>
  <c r="AJ141" i="9"/>
  <c r="AK141" i="9" s="1"/>
  <c r="AL141" i="9" s="1"/>
  <c r="AD138" i="9"/>
  <c r="AE138" i="9" s="1"/>
  <c r="AF138" i="9" s="1"/>
  <c r="AJ135" i="9"/>
  <c r="AK135" i="9" s="1"/>
  <c r="AL135" i="9" s="1"/>
  <c r="AJ134" i="9"/>
  <c r="AK134" i="9" s="1"/>
  <c r="AL134" i="9" s="1"/>
  <c r="AD129" i="9"/>
  <c r="AE129" i="9" s="1"/>
  <c r="AF129" i="9" s="1"/>
  <c r="AD125" i="9"/>
  <c r="AE125" i="9" s="1"/>
  <c r="AF125" i="9" s="1"/>
  <c r="AD122" i="9"/>
  <c r="AE122" i="9" s="1"/>
  <c r="AF122" i="9" s="1"/>
  <c r="AJ121" i="9"/>
  <c r="AK121" i="9" s="1"/>
  <c r="AL121" i="9" s="1"/>
  <c r="AJ117" i="9"/>
  <c r="AK117" i="9" s="1"/>
  <c r="AL117" i="9" s="1"/>
  <c r="AD112" i="9"/>
  <c r="AE112" i="9" s="1"/>
  <c r="AF112" i="9" s="1"/>
  <c r="AD108" i="9"/>
  <c r="AE108" i="9" s="1"/>
  <c r="AF108" i="9" s="1"/>
  <c r="AJ106" i="9"/>
  <c r="AK106" i="9" s="1"/>
  <c r="AL106" i="9" s="1"/>
  <c r="AD100" i="9"/>
  <c r="AE100" i="9" s="1"/>
  <c r="AF100" i="9" s="1"/>
  <c r="AJ99" i="9"/>
  <c r="AK99" i="9" s="1"/>
  <c r="AL99" i="9" s="1"/>
  <c r="AD97" i="9"/>
  <c r="AE97" i="9" s="1"/>
  <c r="AF97" i="9" s="1"/>
  <c r="AJ94" i="9"/>
  <c r="AK94" i="9" s="1"/>
  <c r="AL94" i="9" s="1"/>
  <c r="AJ202" i="9"/>
  <c r="AK202" i="9" s="1"/>
  <c r="AL202" i="9" s="1"/>
  <c r="AD143" i="9"/>
  <c r="AE143" i="9" s="1"/>
  <c r="AF143" i="9" s="1"/>
  <c r="AJ112" i="9"/>
  <c r="AK112" i="9" s="1"/>
  <c r="AL112" i="9" s="1"/>
  <c r="AD109" i="9"/>
  <c r="AE109" i="9" s="1"/>
  <c r="AF109" i="9" s="1"/>
  <c r="AJ98" i="9"/>
  <c r="AK98" i="9" s="1"/>
  <c r="AL98" i="9" s="1"/>
  <c r="AJ182" i="9"/>
  <c r="AK182" i="9" s="1"/>
  <c r="AL182" i="9" s="1"/>
  <c r="AD140" i="9"/>
  <c r="AE140" i="9" s="1"/>
  <c r="AF140" i="9" s="1"/>
  <c r="AD132" i="9"/>
  <c r="AE132" i="9" s="1"/>
  <c r="AF132" i="9" s="1"/>
  <c r="AD113" i="9"/>
  <c r="AE113" i="9" s="1"/>
  <c r="AF113" i="9" s="1"/>
  <c r="AJ108" i="9"/>
  <c r="AK108" i="9" s="1"/>
  <c r="AL108" i="9" s="1"/>
  <c r="AD103" i="9"/>
  <c r="AE103" i="9" s="1"/>
  <c r="AF103" i="9" s="1"/>
  <c r="AD94" i="9"/>
  <c r="AE94" i="9" s="1"/>
  <c r="AF94" i="9" s="1"/>
  <c r="AD88" i="9"/>
  <c r="AE88" i="9" s="1"/>
  <c r="AF88" i="9" s="1"/>
  <c r="AJ86" i="9"/>
  <c r="AK86" i="9" s="1"/>
  <c r="AL86" i="9" s="1"/>
  <c r="AD83" i="9"/>
  <c r="AE83" i="9" s="1"/>
  <c r="AF83" i="9" s="1"/>
  <c r="AJ81" i="9"/>
  <c r="AK81" i="9" s="1"/>
  <c r="AL81" i="9" s="1"/>
  <c r="AD74" i="9"/>
  <c r="AE74" i="9" s="1"/>
  <c r="AF74" i="9" s="1"/>
  <c r="AJ68" i="9"/>
  <c r="AK68" i="9" s="1"/>
  <c r="AL68" i="9" s="1"/>
  <c r="AJ67" i="9"/>
  <c r="AK67" i="9" s="1"/>
  <c r="AL67" i="9" s="1"/>
  <c r="AJ63" i="9"/>
  <c r="AK63" i="9" s="1"/>
  <c r="AL63" i="9" s="1"/>
  <c r="AJ60" i="9"/>
  <c r="AK60" i="9" s="1"/>
  <c r="AL60" i="9" s="1"/>
  <c r="AD58" i="9"/>
  <c r="AE58" i="9" s="1"/>
  <c r="AF58" i="9" s="1"/>
  <c r="AD47" i="9"/>
  <c r="AE47" i="9" s="1"/>
  <c r="AF47" i="9" s="1"/>
  <c r="AJ44" i="9"/>
  <c r="AK44" i="9" s="1"/>
  <c r="AL44" i="9" s="1"/>
  <c r="AD41" i="9"/>
  <c r="AE41" i="9" s="1"/>
  <c r="AF41" i="9" s="1"/>
  <c r="AJ218" i="9"/>
  <c r="AK218" i="9" s="1"/>
  <c r="AL218" i="9" s="1"/>
  <c r="AD183" i="9"/>
  <c r="AE183" i="9" s="1"/>
  <c r="AF183" i="9" s="1"/>
  <c r="AJ138" i="9"/>
  <c r="AK138" i="9" s="1"/>
  <c r="AL138" i="9" s="1"/>
  <c r="AJ122" i="9"/>
  <c r="AK122" i="9" s="1"/>
  <c r="AL122" i="9" s="1"/>
  <c r="AJ119" i="9"/>
  <c r="AK119" i="9" s="1"/>
  <c r="AL119" i="9" s="1"/>
  <c r="AD116" i="9"/>
  <c r="AE116" i="9" s="1"/>
  <c r="AF116" i="9" s="1"/>
  <c r="AJ111" i="9"/>
  <c r="AK111" i="9" s="1"/>
  <c r="AL111" i="9" s="1"/>
  <c r="AD105" i="9"/>
  <c r="AE105" i="9" s="1"/>
  <c r="AF105" i="9" s="1"/>
  <c r="AJ101" i="9"/>
  <c r="AK101" i="9" s="1"/>
  <c r="AL101" i="9" s="1"/>
  <c r="AD99" i="9"/>
  <c r="AE99" i="9" s="1"/>
  <c r="AF99" i="9" s="1"/>
  <c r="AD96" i="9"/>
  <c r="AE96" i="9" s="1"/>
  <c r="AF96" i="9" s="1"/>
  <c r="AJ95" i="9"/>
  <c r="AK95" i="9" s="1"/>
  <c r="AL95" i="9" s="1"/>
  <c r="AJ93" i="9"/>
  <c r="AK93" i="9" s="1"/>
  <c r="AL93" i="9" s="1"/>
  <c r="AD92" i="9"/>
  <c r="AE92" i="9" s="1"/>
  <c r="AF92" i="9" s="1"/>
  <c r="AJ91" i="9"/>
  <c r="AK91" i="9" s="1"/>
  <c r="AL91" i="9" s="1"/>
  <c r="AJ165" i="9"/>
  <c r="AK165" i="9" s="1"/>
  <c r="AL165" i="9" s="1"/>
  <c r="AJ136" i="9"/>
  <c r="AK136" i="9" s="1"/>
  <c r="AL136" i="9" s="1"/>
  <c r="AD123" i="9"/>
  <c r="AE123" i="9" s="1"/>
  <c r="AF123" i="9" s="1"/>
  <c r="AD120" i="9"/>
  <c r="AE120" i="9" s="1"/>
  <c r="AF120" i="9" s="1"/>
  <c r="AJ110" i="9"/>
  <c r="AK110" i="9" s="1"/>
  <c r="AL110" i="9" s="1"/>
  <c r="AD98" i="9"/>
  <c r="AE98" i="9" s="1"/>
  <c r="AF98" i="9" s="1"/>
  <c r="AD90" i="9"/>
  <c r="AE90" i="9" s="1"/>
  <c r="AF90" i="9" s="1"/>
  <c r="AJ87" i="9"/>
  <c r="AK87" i="9" s="1"/>
  <c r="AL87" i="9" s="1"/>
  <c r="AD84" i="9"/>
  <c r="AE84" i="9" s="1"/>
  <c r="AF84" i="9" s="1"/>
  <c r="AJ78" i="9"/>
  <c r="AK78" i="9" s="1"/>
  <c r="AL78" i="9" s="1"/>
  <c r="AD75" i="9"/>
  <c r="AE75" i="9" s="1"/>
  <c r="AF75" i="9" s="1"/>
  <c r="AD71" i="9"/>
  <c r="AE71" i="9" s="1"/>
  <c r="AF71" i="9" s="1"/>
  <c r="AJ70" i="9"/>
  <c r="AK70" i="9" s="1"/>
  <c r="AL70" i="9" s="1"/>
  <c r="AJ64" i="9"/>
  <c r="AK64" i="9" s="1"/>
  <c r="AL64" i="9" s="1"/>
  <c r="AD62" i="9"/>
  <c r="AE62" i="9" s="1"/>
  <c r="AF62" i="9" s="1"/>
  <c r="AJ61" i="9"/>
  <c r="AK61" i="9" s="1"/>
  <c r="AL61" i="9" s="1"/>
  <c r="AD55" i="9"/>
  <c r="AE55" i="9" s="1"/>
  <c r="AF55" i="9" s="1"/>
  <c r="AJ54" i="9"/>
  <c r="AK54" i="9" s="1"/>
  <c r="AL54" i="9" s="1"/>
  <c r="AD49" i="9"/>
  <c r="AE49" i="9" s="1"/>
  <c r="AF49" i="9" s="1"/>
  <c r="AJ46" i="9"/>
  <c r="AK46" i="9" s="1"/>
  <c r="AL46" i="9" s="1"/>
  <c r="AD42" i="9"/>
  <c r="AE42" i="9" s="1"/>
  <c r="AF42" i="9" s="1"/>
  <c r="AD168" i="9"/>
  <c r="AE168" i="9" s="1"/>
  <c r="AF168" i="9" s="1"/>
  <c r="AD130" i="9"/>
  <c r="AE130" i="9" s="1"/>
  <c r="AF130" i="9" s="1"/>
  <c r="AJ129" i="9"/>
  <c r="AK129" i="9" s="1"/>
  <c r="AL129" i="9" s="1"/>
  <c r="AJ128" i="9"/>
  <c r="AK128" i="9" s="1"/>
  <c r="AL128" i="9" s="1"/>
  <c r="AJ107" i="9"/>
  <c r="AK107" i="9" s="1"/>
  <c r="AL107" i="9" s="1"/>
  <c r="AJ97" i="9"/>
  <c r="AK97" i="9" s="1"/>
  <c r="AL97" i="9" s="1"/>
  <c r="AJ88" i="9"/>
  <c r="AK88" i="9" s="1"/>
  <c r="AL88" i="9" s="1"/>
  <c r="AJ83" i="9"/>
  <c r="AK83" i="9" s="1"/>
  <c r="AL83" i="9" s="1"/>
  <c r="AD80" i="9"/>
  <c r="AE80" i="9" s="1"/>
  <c r="AF80" i="9" s="1"/>
  <c r="AJ74" i="9"/>
  <c r="AK74" i="9" s="1"/>
  <c r="AL74" i="9" s="1"/>
  <c r="AD59" i="9"/>
  <c r="AE59" i="9" s="1"/>
  <c r="AF59" i="9" s="1"/>
  <c r="AJ58" i="9"/>
  <c r="AK58" i="9" s="1"/>
  <c r="AL58" i="9" s="1"/>
  <c r="AJ158" i="9"/>
  <c r="AK158" i="9" s="1"/>
  <c r="AL158" i="9" s="1"/>
  <c r="AD153" i="9"/>
  <c r="AE153" i="9" s="1"/>
  <c r="AF153" i="9" s="1"/>
  <c r="AD149" i="9"/>
  <c r="AE149" i="9" s="1"/>
  <c r="AF149" i="9" s="1"/>
  <c r="AJ145" i="9"/>
  <c r="AK145" i="9" s="1"/>
  <c r="AL145" i="9" s="1"/>
  <c r="AD119" i="9"/>
  <c r="AE119" i="9" s="1"/>
  <c r="AF119" i="9" s="1"/>
  <c r="AJ118" i="9"/>
  <c r="AK118" i="9" s="1"/>
  <c r="AL118" i="9" s="1"/>
  <c r="AJ114" i="9"/>
  <c r="AK114" i="9" s="1"/>
  <c r="AL114" i="9" s="1"/>
  <c r="AD104" i="9"/>
  <c r="AE104" i="9" s="1"/>
  <c r="AF104" i="9" s="1"/>
  <c r="AJ103" i="9"/>
  <c r="AK103" i="9" s="1"/>
  <c r="AL103" i="9" s="1"/>
  <c r="AD101" i="9"/>
  <c r="AE101" i="9" s="1"/>
  <c r="AF101" i="9" s="1"/>
  <c r="AJ92" i="9"/>
  <c r="AK92" i="9" s="1"/>
  <c r="AL92" i="9" s="1"/>
  <c r="AJ89" i="9"/>
  <c r="AK89" i="9" s="1"/>
  <c r="AL89" i="9" s="1"/>
  <c r="AD85" i="9"/>
  <c r="AE85" i="9" s="1"/>
  <c r="AF85" i="9" s="1"/>
  <c r="AJ79" i="9"/>
  <c r="AK79" i="9" s="1"/>
  <c r="AL79" i="9" s="1"/>
  <c r="AD76" i="9"/>
  <c r="AE76" i="9" s="1"/>
  <c r="AF76" i="9" s="1"/>
  <c r="AD72" i="9"/>
  <c r="AE72" i="9" s="1"/>
  <c r="AF72" i="9" s="1"/>
  <c r="AD115" i="9"/>
  <c r="AE115" i="9" s="1"/>
  <c r="AF115" i="9" s="1"/>
  <c r="AJ100" i="9"/>
  <c r="AK100" i="9" s="1"/>
  <c r="AL100" i="9" s="1"/>
  <c r="AJ96" i="9"/>
  <c r="AK96" i="9" s="1"/>
  <c r="AL96" i="9" s="1"/>
  <c r="AD91" i="9"/>
  <c r="AE91" i="9" s="1"/>
  <c r="AF91" i="9" s="1"/>
  <c r="AD86" i="9"/>
  <c r="AE86" i="9" s="1"/>
  <c r="AF86" i="9" s="1"/>
  <c r="AJ84" i="9"/>
  <c r="AK84" i="9" s="1"/>
  <c r="AL84" i="9" s="1"/>
  <c r="AD81" i="9"/>
  <c r="AE81" i="9" s="1"/>
  <c r="AF81" i="9" s="1"/>
  <c r="AJ75" i="9"/>
  <c r="AK75" i="9" s="1"/>
  <c r="AL75" i="9" s="1"/>
  <c r="AJ71" i="9"/>
  <c r="AK71" i="9" s="1"/>
  <c r="AL71" i="9" s="1"/>
  <c r="AD68" i="9"/>
  <c r="AE68" i="9" s="1"/>
  <c r="AF68" i="9" s="1"/>
  <c r="AD67" i="9"/>
  <c r="AE67" i="9" s="1"/>
  <c r="AF67" i="9" s="1"/>
  <c r="AJ73" i="9"/>
  <c r="AK73" i="9" s="1"/>
  <c r="AL73" i="9" s="1"/>
  <c r="AD64" i="9"/>
  <c r="AE64" i="9" s="1"/>
  <c r="AF64" i="9" s="1"/>
  <c r="AD44" i="9"/>
  <c r="AE44" i="9" s="1"/>
  <c r="AF44" i="9" s="1"/>
  <c r="AD38" i="9"/>
  <c r="AE38" i="9" s="1"/>
  <c r="AF38" i="9" s="1"/>
  <c r="AJ36" i="9"/>
  <c r="AK36" i="9" s="1"/>
  <c r="AL36" i="9" s="1"/>
  <c r="AD31" i="9"/>
  <c r="AE31" i="9" s="1"/>
  <c r="AF31" i="9" s="1"/>
  <c r="AJ24" i="9"/>
  <c r="AK24" i="9" s="1"/>
  <c r="AL24" i="9" s="1"/>
  <c r="AD21" i="9"/>
  <c r="AE21" i="9" s="1"/>
  <c r="AF21" i="9" s="1"/>
  <c r="AJ20" i="9"/>
  <c r="AK20" i="9" s="1"/>
  <c r="AL20" i="9" s="1"/>
  <c r="AD18" i="9"/>
  <c r="AE18" i="9" s="1"/>
  <c r="AF18" i="9" s="1"/>
  <c r="AD2" i="9"/>
  <c r="AE2" i="9" s="1"/>
  <c r="AF2" i="9" s="1"/>
  <c r="AJ23" i="9"/>
  <c r="AK23" i="9" s="1"/>
  <c r="AL23" i="9" s="1"/>
  <c r="AJ12" i="9"/>
  <c r="AK12" i="9" s="1"/>
  <c r="AL12" i="9" s="1"/>
  <c r="AJ9" i="9"/>
  <c r="AK9" i="9" s="1"/>
  <c r="AL9" i="9" s="1"/>
  <c r="AD7" i="9"/>
  <c r="AE7" i="9" s="1"/>
  <c r="AF7" i="9" s="1"/>
  <c r="AJ85" i="9"/>
  <c r="AK85" i="9" s="1"/>
  <c r="AL85" i="9" s="1"/>
  <c r="AD60" i="9"/>
  <c r="AE60" i="9" s="1"/>
  <c r="AF60" i="9" s="1"/>
  <c r="AJ53" i="9"/>
  <c r="AK53" i="9" s="1"/>
  <c r="AL53" i="9" s="1"/>
  <c r="AD51" i="9"/>
  <c r="AE51" i="9" s="1"/>
  <c r="AF51" i="9" s="1"/>
  <c r="AJ41" i="9"/>
  <c r="AK41" i="9" s="1"/>
  <c r="AL41" i="9" s="1"/>
  <c r="AD39" i="9"/>
  <c r="AE39" i="9" s="1"/>
  <c r="AF39" i="9" s="1"/>
  <c r="AD34" i="9"/>
  <c r="AE34" i="9" s="1"/>
  <c r="AF34" i="9" s="1"/>
  <c r="AJ33" i="9"/>
  <c r="AK33" i="9" s="1"/>
  <c r="AL33" i="9" s="1"/>
  <c r="AJ30" i="9"/>
  <c r="AK30" i="9" s="1"/>
  <c r="AL30" i="9" s="1"/>
  <c r="AD26" i="9"/>
  <c r="AE26" i="9" s="1"/>
  <c r="AF26" i="9" s="1"/>
  <c r="AJ17" i="9"/>
  <c r="AK17" i="9" s="1"/>
  <c r="AL17" i="9" s="1"/>
  <c r="AD14" i="9"/>
  <c r="AE14" i="9" s="1"/>
  <c r="AF14" i="9" s="1"/>
  <c r="AD5" i="9"/>
  <c r="AE5" i="9" s="1"/>
  <c r="AF5" i="9" s="1"/>
  <c r="AJ4" i="9"/>
  <c r="AK4" i="9" s="1"/>
  <c r="AL4" i="9" s="1"/>
  <c r="AD27" i="9"/>
  <c r="AE27" i="9" s="1"/>
  <c r="AF27" i="9" s="1"/>
  <c r="AD11" i="9"/>
  <c r="AE11" i="9" s="1"/>
  <c r="AF11" i="9" s="1"/>
  <c r="AJ10" i="9"/>
  <c r="AK10" i="9" s="1"/>
  <c r="AL10" i="9" s="1"/>
  <c r="AD144" i="9"/>
  <c r="AE144" i="9" s="1"/>
  <c r="AF144" i="9" s="1"/>
  <c r="AD73" i="9"/>
  <c r="AE73" i="9" s="1"/>
  <c r="AF73" i="9" s="1"/>
  <c r="AJ72" i="9"/>
  <c r="AK72" i="9" s="1"/>
  <c r="AL72" i="9" s="1"/>
  <c r="AJ69" i="9"/>
  <c r="AK69" i="9" s="1"/>
  <c r="AL69" i="9" s="1"/>
  <c r="AJ65" i="9"/>
  <c r="AK65" i="9" s="1"/>
  <c r="AL65" i="9" s="1"/>
  <c r="AJ62" i="9"/>
  <c r="AK62" i="9" s="1"/>
  <c r="AL62" i="9" s="1"/>
  <c r="AJ59" i="9"/>
  <c r="AK59" i="9" s="1"/>
  <c r="AL59" i="9" s="1"/>
  <c r="AD54" i="9"/>
  <c r="AE54" i="9" s="1"/>
  <c r="AF54" i="9" s="1"/>
  <c r="AJ50" i="9"/>
  <c r="AK50" i="9" s="1"/>
  <c r="AL50" i="9" s="1"/>
  <c r="AJ48" i="9"/>
  <c r="AK48" i="9" s="1"/>
  <c r="AL48" i="9" s="1"/>
  <c r="AJ43" i="9"/>
  <c r="AK43" i="9" s="1"/>
  <c r="AL43" i="9" s="1"/>
  <c r="AD40" i="9"/>
  <c r="AE40" i="9" s="1"/>
  <c r="AF40" i="9" s="1"/>
  <c r="AJ37" i="9"/>
  <c r="AK37" i="9" s="1"/>
  <c r="AL37" i="9" s="1"/>
  <c r="AJ25" i="9"/>
  <c r="AK25" i="9" s="1"/>
  <c r="AL25" i="9" s="1"/>
  <c r="AD19" i="9"/>
  <c r="AE19" i="9" s="1"/>
  <c r="AF19" i="9" s="1"/>
  <c r="AD15" i="9"/>
  <c r="AE15" i="9" s="1"/>
  <c r="AF15" i="9" s="1"/>
  <c r="AJ13" i="9"/>
  <c r="AK13" i="9" s="1"/>
  <c r="AL13" i="9" s="1"/>
  <c r="AD8" i="9"/>
  <c r="AE8" i="9" s="1"/>
  <c r="AF8" i="9" s="1"/>
  <c r="AJ7" i="9"/>
  <c r="AK7" i="9" s="1"/>
  <c r="AL7" i="9" s="1"/>
  <c r="AJ16" i="9"/>
  <c r="AK16" i="9" s="1"/>
  <c r="AL16" i="9" s="1"/>
  <c r="AD89" i="9"/>
  <c r="AE89" i="9" s="1"/>
  <c r="AF89" i="9" s="1"/>
  <c r="AD79" i="9"/>
  <c r="AE79" i="9" s="1"/>
  <c r="AF79" i="9" s="1"/>
  <c r="AJ77" i="9"/>
  <c r="AK77" i="9" s="1"/>
  <c r="AL77" i="9" s="1"/>
  <c r="AD70" i="9"/>
  <c r="AE70" i="9" s="1"/>
  <c r="AF70" i="9" s="1"/>
  <c r="AJ66" i="9"/>
  <c r="AK66" i="9" s="1"/>
  <c r="AL66" i="9" s="1"/>
  <c r="AD63" i="9"/>
  <c r="AE63" i="9" s="1"/>
  <c r="AF63" i="9" s="1"/>
  <c r="AD57" i="9"/>
  <c r="AE57" i="9" s="1"/>
  <c r="AF57" i="9" s="1"/>
  <c r="AJ52" i="9"/>
  <c r="AK52" i="9" s="1"/>
  <c r="AL52" i="9" s="1"/>
  <c r="AD45" i="9"/>
  <c r="AE45" i="9" s="1"/>
  <c r="AF45" i="9" s="1"/>
  <c r="AJ38" i="9"/>
  <c r="AK38" i="9" s="1"/>
  <c r="AL38" i="9" s="1"/>
  <c r="AD35" i="9"/>
  <c r="AE35" i="9" s="1"/>
  <c r="AF35" i="9" s="1"/>
  <c r="AD32" i="9"/>
  <c r="AE32" i="9" s="1"/>
  <c r="AF32" i="9" s="1"/>
  <c r="AJ31" i="9"/>
  <c r="AK31" i="9" s="1"/>
  <c r="AL31" i="9" s="1"/>
  <c r="AD28" i="9"/>
  <c r="AE28" i="9" s="1"/>
  <c r="AF28" i="9" s="1"/>
  <c r="AD22" i="9"/>
  <c r="AE22" i="9" s="1"/>
  <c r="AF22" i="9" s="1"/>
  <c r="AJ21" i="9"/>
  <c r="AK21" i="9" s="1"/>
  <c r="AL21" i="9" s="1"/>
  <c r="AJ18" i="9"/>
  <c r="AK18" i="9" s="1"/>
  <c r="AL18" i="9" s="1"/>
  <c r="AD3" i="9"/>
  <c r="AE3" i="9" s="1"/>
  <c r="AF3" i="9" s="1"/>
  <c r="AJ2" i="9"/>
  <c r="AK2" i="9" s="1"/>
  <c r="AL2" i="9" s="1"/>
  <c r="AD37" i="9"/>
  <c r="AE37" i="9" s="1"/>
  <c r="AF37" i="9" s="1"/>
  <c r="AJ82" i="9"/>
  <c r="AK82" i="9" s="1"/>
  <c r="AL82" i="9" s="1"/>
  <c r="AD78" i="9"/>
  <c r="AE78" i="9" s="1"/>
  <c r="AF78" i="9" s="1"/>
  <c r="AD69" i="9"/>
  <c r="AE69" i="9" s="1"/>
  <c r="AF69" i="9" s="1"/>
  <c r="AJ56" i="9"/>
  <c r="AK56" i="9" s="1"/>
  <c r="AL56" i="9" s="1"/>
  <c r="AD53" i="9"/>
  <c r="AE53" i="9" s="1"/>
  <c r="AF53" i="9" s="1"/>
  <c r="AJ39" i="9"/>
  <c r="AK39" i="9" s="1"/>
  <c r="AL39" i="9" s="1"/>
  <c r="AJ34" i="9"/>
  <c r="AK34" i="9" s="1"/>
  <c r="AL34" i="9" s="1"/>
  <c r="AD29" i="9"/>
  <c r="AE29" i="9" s="1"/>
  <c r="AF29" i="9" s="1"/>
  <c r="AJ26" i="9"/>
  <c r="AK26" i="9" s="1"/>
  <c r="AL26" i="9" s="1"/>
  <c r="AD23" i="9"/>
  <c r="AE23" i="9" s="1"/>
  <c r="AF23" i="9" s="1"/>
  <c r="AD16" i="9"/>
  <c r="AE16" i="9" s="1"/>
  <c r="AF16" i="9" s="1"/>
  <c r="AJ14" i="9"/>
  <c r="AK14" i="9" s="1"/>
  <c r="AL14" i="9" s="1"/>
  <c r="AD12" i="9"/>
  <c r="AE12" i="9" s="1"/>
  <c r="AF12" i="9" s="1"/>
  <c r="AD9" i="9"/>
  <c r="AE9" i="9" s="1"/>
  <c r="AF9" i="9" s="1"/>
  <c r="AD6" i="9"/>
  <c r="AE6" i="9" s="1"/>
  <c r="AF6" i="9" s="1"/>
  <c r="AJ5" i="9"/>
  <c r="AK5" i="9" s="1"/>
  <c r="AL5" i="9" s="1"/>
  <c r="AJ29" i="9"/>
  <c r="AK29" i="9" s="1"/>
  <c r="AL29" i="9" s="1"/>
  <c r="AD25" i="9"/>
  <c r="AE25" i="9" s="1"/>
  <c r="AF25" i="9" s="1"/>
  <c r="AD107" i="9"/>
  <c r="AE107" i="9" s="1"/>
  <c r="AF107" i="9" s="1"/>
  <c r="AJ102" i="9"/>
  <c r="AK102" i="9" s="1"/>
  <c r="AL102" i="9" s="1"/>
  <c r="AD77" i="9"/>
  <c r="AE77" i="9" s="1"/>
  <c r="AF77" i="9" s="1"/>
  <c r="AJ76" i="9"/>
  <c r="AK76" i="9" s="1"/>
  <c r="AL76" i="9" s="1"/>
  <c r="AD66" i="9"/>
  <c r="AE66" i="9" s="1"/>
  <c r="AF66" i="9" s="1"/>
  <c r="AJ51" i="9"/>
  <c r="AK51" i="9" s="1"/>
  <c r="AL51" i="9" s="1"/>
  <c r="AD50" i="9"/>
  <c r="AE50" i="9" s="1"/>
  <c r="AF50" i="9" s="1"/>
  <c r="AD43" i="9"/>
  <c r="AE43" i="9" s="1"/>
  <c r="AF43" i="9" s="1"/>
  <c r="AJ40" i="9"/>
  <c r="AK40" i="9" s="1"/>
  <c r="AL40" i="9" s="1"/>
  <c r="AD36" i="9"/>
  <c r="AE36" i="9" s="1"/>
  <c r="AF36" i="9" s="1"/>
  <c r="AJ27" i="9"/>
  <c r="AK27" i="9" s="1"/>
  <c r="AL27" i="9" s="1"/>
  <c r="AD24" i="9"/>
  <c r="AE24" i="9" s="1"/>
  <c r="AF24" i="9" s="1"/>
  <c r="AD20" i="9"/>
  <c r="AE20" i="9" s="1"/>
  <c r="AF20" i="9" s="1"/>
  <c r="AJ19" i="9"/>
  <c r="AK19" i="9" s="1"/>
  <c r="AL19" i="9" s="1"/>
  <c r="AJ15" i="9"/>
  <c r="AK15" i="9" s="1"/>
  <c r="AL15" i="9" s="1"/>
  <c r="AJ11" i="9"/>
  <c r="AK11" i="9" s="1"/>
  <c r="AL11" i="9" s="1"/>
  <c r="AJ8" i="9"/>
  <c r="AK8" i="9" s="1"/>
  <c r="AL8" i="9" s="1"/>
  <c r="AJ125" i="9"/>
  <c r="AK125" i="9" s="1"/>
  <c r="AL125" i="9" s="1"/>
  <c r="AD87" i="9"/>
  <c r="AE87" i="9" s="1"/>
  <c r="AF87" i="9" s="1"/>
  <c r="AJ80" i="9"/>
  <c r="AK80" i="9" s="1"/>
  <c r="AL80" i="9" s="1"/>
  <c r="AJ57" i="9"/>
  <c r="AK57" i="9" s="1"/>
  <c r="AL57" i="9" s="1"/>
  <c r="AD46" i="9"/>
  <c r="AE46" i="9" s="1"/>
  <c r="AF46" i="9" s="1"/>
  <c r="AD13" i="9"/>
  <c r="AE13" i="9" s="1"/>
  <c r="AF13" i="9" s="1"/>
  <c r="AJ124" i="9"/>
  <c r="AK124" i="9" s="1"/>
  <c r="AL124" i="9" s="1"/>
  <c r="AD82" i="9"/>
  <c r="AE82" i="9" s="1"/>
  <c r="AF82" i="9" s="1"/>
  <c r="AD65" i="9"/>
  <c r="AE65" i="9" s="1"/>
  <c r="AF65" i="9" s="1"/>
  <c r="AD61" i="9"/>
  <c r="AE61" i="9" s="1"/>
  <c r="AF61" i="9" s="1"/>
  <c r="AD56" i="9"/>
  <c r="AE56" i="9" s="1"/>
  <c r="AF56" i="9" s="1"/>
  <c r="AJ55" i="9"/>
  <c r="AK55" i="9" s="1"/>
  <c r="AL55" i="9" s="1"/>
  <c r="AJ49" i="9"/>
  <c r="AK49" i="9" s="1"/>
  <c r="AL49" i="9" s="1"/>
  <c r="AD48" i="9"/>
  <c r="AE48" i="9" s="1"/>
  <c r="AF48" i="9" s="1"/>
  <c r="AJ47" i="9"/>
  <c r="AK47" i="9" s="1"/>
  <c r="AL47" i="9" s="1"/>
  <c r="AJ42" i="9"/>
  <c r="AK42" i="9" s="1"/>
  <c r="AL42" i="9" s="1"/>
  <c r="AJ35" i="9"/>
  <c r="AK35" i="9" s="1"/>
  <c r="AL35" i="9" s="1"/>
  <c r="AD33" i="9"/>
  <c r="AE33" i="9" s="1"/>
  <c r="AF33" i="9" s="1"/>
  <c r="AJ32" i="9"/>
  <c r="AK32" i="9" s="1"/>
  <c r="AL32" i="9" s="1"/>
  <c r="AD30" i="9"/>
  <c r="AE30" i="9" s="1"/>
  <c r="AF30" i="9" s="1"/>
  <c r="AJ28" i="9"/>
  <c r="AK28" i="9" s="1"/>
  <c r="AL28" i="9" s="1"/>
  <c r="AJ22" i="9"/>
  <c r="AK22" i="9" s="1"/>
  <c r="AL22" i="9" s="1"/>
  <c r="AD17" i="9"/>
  <c r="AE17" i="9" s="1"/>
  <c r="AF17" i="9" s="1"/>
  <c r="AD4" i="9"/>
  <c r="AE4" i="9" s="1"/>
  <c r="AF4" i="9" s="1"/>
  <c r="AJ3" i="9"/>
  <c r="AK3" i="9" s="1"/>
  <c r="AL3" i="9" s="1"/>
  <c r="AD52" i="9"/>
  <c r="AE52" i="9" s="1"/>
  <c r="AF52" i="9" s="1"/>
  <c r="AJ45" i="9"/>
  <c r="AK45" i="9" s="1"/>
  <c r="AL45" i="9" s="1"/>
  <c r="AD10" i="9"/>
  <c r="AE10" i="9" s="1"/>
  <c r="AF10" i="9" s="1"/>
  <c r="AJ6" i="9"/>
  <c r="AK6" i="9" s="1"/>
  <c r="AL6" i="9" s="1"/>
  <c r="D224" i="8"/>
  <c r="D223" i="8"/>
  <c r="D222" i="8"/>
  <c r="D221" i="8"/>
  <c r="D220" i="8"/>
  <c r="D219" i="8"/>
  <c r="D218" i="8"/>
  <c r="D217" i="8"/>
  <c r="D216" i="8"/>
  <c r="D215" i="8"/>
  <c r="D214" i="8"/>
  <c r="D213" i="8"/>
  <c r="D212" i="8"/>
  <c r="D211" i="8"/>
  <c r="D210" i="8"/>
  <c r="D209" i="8"/>
  <c r="D208" i="8"/>
  <c r="D207" i="8"/>
  <c r="D206" i="8"/>
  <c r="D205" i="8"/>
  <c r="D204" i="8"/>
  <c r="D203" i="8"/>
  <c r="D195" i="8"/>
  <c r="D194" i="8"/>
  <c r="D193" i="8"/>
  <c r="D191" i="8"/>
  <c r="D190" i="8"/>
  <c r="AE190" i="8" s="1"/>
  <c r="AF190" i="8" s="1"/>
  <c r="AG190" i="8" s="1"/>
  <c r="D189" i="8"/>
  <c r="D188" i="8"/>
  <c r="D187" i="8"/>
  <c r="D186" i="8"/>
  <c r="D185" i="8"/>
  <c r="D184" i="8"/>
  <c r="D183" i="8"/>
  <c r="D182" i="8"/>
  <c r="D202" i="8"/>
  <c r="D201" i="8"/>
  <c r="D200" i="8"/>
  <c r="D199" i="8"/>
  <c r="D198" i="8"/>
  <c r="D197" i="8"/>
  <c r="D196" i="8"/>
  <c r="D19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1" i="8"/>
  <c r="D149" i="8"/>
  <c r="D148" i="8"/>
  <c r="D147" i="8"/>
  <c r="D146" i="8"/>
  <c r="D145" i="8"/>
  <c r="D144" i="8"/>
  <c r="D143" i="8"/>
  <c r="D142"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AE108" i="8" s="1"/>
  <c r="AF108" i="8" s="1"/>
  <c r="AG108" i="8" s="1"/>
  <c r="D107" i="8"/>
  <c r="Y107" i="8" s="1"/>
  <c r="Z107" i="8" s="1"/>
  <c r="AA107" i="8" s="1"/>
  <c r="D106" i="8"/>
  <c r="AE106" i="8" s="1"/>
  <c r="AF106" i="8" s="1"/>
  <c r="AG106" i="8" s="1"/>
  <c r="D105" i="8"/>
  <c r="D104" i="8"/>
  <c r="AE104" i="8" s="1"/>
  <c r="AF104" i="8" s="1"/>
  <c r="AG104" i="8" s="1"/>
  <c r="D103" i="8"/>
  <c r="AE103" i="8" s="1"/>
  <c r="AF103" i="8" s="1"/>
  <c r="AG103" i="8" s="1"/>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2" i="8"/>
  <c r="D63" i="8"/>
  <c r="D61" i="8"/>
  <c r="D60" i="8"/>
  <c r="D59" i="8"/>
  <c r="D58" i="8"/>
  <c r="D57" i="8"/>
  <c r="D56" i="8"/>
  <c r="D55" i="8"/>
  <c r="D54" i="8"/>
  <c r="AE54" i="8" s="1"/>
  <c r="AF54" i="8" s="1"/>
  <c r="AG54" i="8" s="1"/>
  <c r="D53" i="8"/>
  <c r="D52" i="8"/>
  <c r="D51" i="8"/>
  <c r="D50" i="8"/>
  <c r="D49" i="8"/>
  <c r="D48" i="8"/>
  <c r="D47" i="8"/>
  <c r="D46" i="8"/>
  <c r="D45" i="8"/>
  <c r="D42" i="8"/>
  <c r="D44" i="8"/>
  <c r="D43" i="8"/>
  <c r="D41" i="8"/>
  <c r="D40" i="8"/>
  <c r="D39" i="8"/>
  <c r="D38" i="8"/>
  <c r="D37" i="8"/>
  <c r="D36" i="8"/>
  <c r="D35" i="8"/>
  <c r="D34" i="8"/>
  <c r="D33" i="8"/>
  <c r="D32" i="8"/>
  <c r="D31" i="8"/>
  <c r="Y31" i="8" s="1"/>
  <c r="Z31" i="8" s="1"/>
  <c r="AA31" i="8" s="1"/>
  <c r="D30" i="8"/>
  <c r="D29" i="8"/>
  <c r="D28" i="8"/>
  <c r="D27" i="8"/>
  <c r="D26" i="8"/>
  <c r="D25" i="8"/>
  <c r="D24" i="8"/>
  <c r="D23" i="8"/>
  <c r="D22" i="8"/>
  <c r="D21" i="8"/>
  <c r="D20" i="8"/>
  <c r="D19" i="8"/>
  <c r="D18" i="8"/>
  <c r="D17" i="8"/>
  <c r="D16" i="8"/>
  <c r="D15" i="8"/>
  <c r="AE15" i="8" s="1"/>
  <c r="AF15" i="8" s="1"/>
  <c r="AG15" i="8" s="1"/>
  <c r="D14" i="8"/>
  <c r="Y14" i="8" s="1"/>
  <c r="Z14" i="8" s="1"/>
  <c r="AA14" i="8" s="1"/>
  <c r="D13" i="8"/>
  <c r="Y13" i="8" s="1"/>
  <c r="Z13" i="8" s="1"/>
  <c r="AA13" i="8" s="1"/>
  <c r="D12" i="8"/>
  <c r="D11" i="8"/>
  <c r="D10" i="8"/>
  <c r="D9" i="8"/>
  <c r="D8" i="8"/>
  <c r="D7" i="8"/>
  <c r="D6" i="8"/>
  <c r="D5" i="8"/>
  <c r="D4" i="8"/>
  <c r="D3" i="8"/>
  <c r="C47" i="2" l="1"/>
  <c r="Y6" i="8"/>
  <c r="Z6" i="8" s="1"/>
  <c r="AA6" i="8" s="1"/>
  <c r="AE62" i="8"/>
  <c r="AF62" i="8" s="1"/>
  <c r="AG62" i="8" s="1"/>
  <c r="Y105" i="8"/>
  <c r="Z105" i="8" s="1"/>
  <c r="AA105" i="8" s="1"/>
  <c r="Y61" i="8"/>
  <c r="Z61" i="8" s="1"/>
  <c r="AA61" i="8" s="1"/>
  <c r="AE18" i="8"/>
  <c r="AF18" i="8" s="1"/>
  <c r="AG18" i="8" s="1"/>
  <c r="AE75" i="8"/>
  <c r="AF75" i="8" s="1"/>
  <c r="AG75" i="8" s="1"/>
  <c r="AE83" i="8"/>
  <c r="AF83" i="8" s="1"/>
  <c r="AG83" i="8" s="1"/>
  <c r="AE187" i="8"/>
  <c r="AF187" i="8" s="1"/>
  <c r="AG187" i="8" s="1"/>
  <c r="AE44" i="8"/>
  <c r="AF44" i="8" s="1"/>
  <c r="AG44" i="8" s="1"/>
  <c r="AE22" i="8"/>
  <c r="AF22" i="8" s="1"/>
  <c r="AG22" i="8" s="1"/>
  <c r="Y70" i="8"/>
  <c r="Z70" i="8" s="1"/>
  <c r="AA70" i="8" s="1"/>
  <c r="Y86" i="8"/>
  <c r="Z86" i="8" s="1"/>
  <c r="AA86" i="8" s="1"/>
  <c r="AE126" i="8"/>
  <c r="AF126" i="8" s="1"/>
  <c r="AG126" i="8" s="1"/>
  <c r="AE143" i="8"/>
  <c r="AF143" i="8" s="1"/>
  <c r="AG143" i="8" s="1"/>
  <c r="AE150" i="8"/>
  <c r="AF150" i="8" s="1"/>
  <c r="AG150" i="8" s="1"/>
  <c r="AE34" i="8"/>
  <c r="AF34" i="8" s="1"/>
  <c r="AG34" i="8" s="1"/>
  <c r="Y203" i="8"/>
  <c r="Z203" i="8" s="1"/>
  <c r="AA203" i="8" s="1"/>
  <c r="Y45" i="8"/>
  <c r="Z45" i="8" s="1"/>
  <c r="AA45" i="8" s="1"/>
  <c r="AE55" i="8"/>
  <c r="AF55" i="8" s="1"/>
  <c r="AG55" i="8" s="1"/>
  <c r="AE5" i="8"/>
  <c r="AF5" i="8" s="1"/>
  <c r="AG5" i="8" s="1"/>
  <c r="AE85" i="8"/>
  <c r="AF85" i="8" s="1"/>
  <c r="AG85" i="8" s="1"/>
  <c r="AE202" i="8"/>
  <c r="AF202" i="8" s="1"/>
  <c r="AG202" i="8" s="1"/>
  <c r="AE43" i="8"/>
  <c r="AF43" i="8" s="1"/>
  <c r="AG43" i="8" s="1"/>
  <c r="AE122" i="8"/>
  <c r="AF122" i="8" s="1"/>
  <c r="AG122" i="8" s="1"/>
  <c r="Y162" i="8"/>
  <c r="Z162" i="8" s="1"/>
  <c r="AA162" i="8" s="1"/>
  <c r="AE199" i="8"/>
  <c r="AF199" i="8" s="1"/>
  <c r="AG199" i="8" s="1"/>
  <c r="Y46" i="8"/>
  <c r="Z46" i="8" s="1"/>
  <c r="AA46" i="8" s="1"/>
  <c r="Y81" i="8"/>
  <c r="Z81" i="8" s="1"/>
  <c r="AA81" i="8" s="1"/>
  <c r="AE19" i="8"/>
  <c r="AF19" i="8" s="1"/>
  <c r="AG19" i="8" s="1"/>
  <c r="Y27" i="8"/>
  <c r="Z27" i="8" s="1"/>
  <c r="AA27" i="8" s="1"/>
  <c r="AE51" i="8"/>
  <c r="AF51" i="8" s="1"/>
  <c r="AG51" i="8" s="1"/>
  <c r="Y59" i="8"/>
  <c r="Z59" i="8" s="1"/>
  <c r="AA59" i="8" s="1"/>
  <c r="Y91" i="8"/>
  <c r="Z91" i="8" s="1"/>
  <c r="AA91" i="8" s="1"/>
  <c r="AE115" i="8"/>
  <c r="AF115" i="8" s="1"/>
  <c r="AG115" i="8" s="1"/>
  <c r="AE179" i="8"/>
  <c r="AF179" i="8" s="1"/>
  <c r="AG179" i="8" s="1"/>
  <c r="AE211" i="8"/>
  <c r="AF211" i="8" s="1"/>
  <c r="AG211" i="8" s="1"/>
  <c r="AE219" i="8"/>
  <c r="AF219" i="8" s="1"/>
  <c r="AG219" i="8" s="1"/>
  <c r="Y42" i="8"/>
  <c r="Z42" i="8" s="1"/>
  <c r="AA42" i="8" s="1"/>
  <c r="Y92" i="8"/>
  <c r="Z92" i="8" s="1"/>
  <c r="AA92" i="8" s="1"/>
  <c r="Y100" i="8"/>
  <c r="Z100" i="8" s="1"/>
  <c r="AA100" i="8" s="1"/>
  <c r="AE180" i="8"/>
  <c r="AF180" i="8" s="1"/>
  <c r="AG180" i="8" s="1"/>
  <c r="AE8" i="8"/>
  <c r="AF8" i="8" s="1"/>
  <c r="AG8" i="8" s="1"/>
  <c r="AE80" i="8"/>
  <c r="AF80" i="8" s="1"/>
  <c r="AG80" i="8" s="1"/>
  <c r="AE88" i="8"/>
  <c r="AF88" i="8" s="1"/>
  <c r="AG88" i="8" s="1"/>
  <c r="AE96" i="8"/>
  <c r="AF96" i="8" s="1"/>
  <c r="AG96" i="8" s="1"/>
  <c r="AE17" i="8"/>
  <c r="AF17" i="8" s="1"/>
  <c r="AG17" i="8" s="1"/>
  <c r="Y41" i="8"/>
  <c r="Z41" i="8" s="1"/>
  <c r="AA41" i="8" s="1"/>
  <c r="Y89" i="8"/>
  <c r="Z89" i="8" s="1"/>
  <c r="AA89" i="8" s="1"/>
  <c r="AE97" i="8"/>
  <c r="AF97" i="8" s="1"/>
  <c r="AG97" i="8" s="1"/>
  <c r="AE121" i="8"/>
  <c r="AF121" i="8" s="1"/>
  <c r="AG121" i="8" s="1"/>
  <c r="AE129" i="8"/>
  <c r="AF129" i="8" s="1"/>
  <c r="AG129" i="8" s="1"/>
  <c r="AE161" i="8"/>
  <c r="AF161" i="8" s="1"/>
  <c r="AG161" i="8" s="1"/>
  <c r="AE198" i="8"/>
  <c r="AF198" i="8" s="1"/>
  <c r="AG198" i="8" s="1"/>
  <c r="AE217" i="8"/>
  <c r="AF217" i="8" s="1"/>
  <c r="AG217" i="8" s="1"/>
  <c r="Y38" i="8"/>
  <c r="Z38" i="8" s="1"/>
  <c r="AA38" i="8" s="1"/>
  <c r="AE158" i="8"/>
  <c r="AF158" i="8" s="1"/>
  <c r="AG158" i="8" s="1"/>
  <c r="Y9" i="8"/>
  <c r="Z9" i="8" s="1"/>
  <c r="AA9" i="8" s="1"/>
  <c r="AE25" i="8"/>
  <c r="AF25" i="8" s="1"/>
  <c r="AG25" i="8" s="1"/>
  <c r="AE49" i="8"/>
  <c r="AF49" i="8" s="1"/>
  <c r="AG49" i="8" s="1"/>
  <c r="AE10" i="8"/>
  <c r="AF10" i="8" s="1"/>
  <c r="AG10" i="8" s="1"/>
  <c r="Y26" i="8"/>
  <c r="Z26" i="8" s="1"/>
  <c r="AA26" i="8" s="1"/>
  <c r="Y50" i="8"/>
  <c r="Z50" i="8" s="1"/>
  <c r="AA50" i="8" s="1"/>
  <c r="AE58" i="8"/>
  <c r="AF58" i="8" s="1"/>
  <c r="AG58" i="8" s="1"/>
  <c r="Y66" i="8"/>
  <c r="Z66" i="8" s="1"/>
  <c r="AA66" i="8" s="1"/>
  <c r="AE74" i="8"/>
  <c r="AF74" i="8" s="1"/>
  <c r="AG74" i="8" s="1"/>
  <c r="AE82" i="8"/>
  <c r="AF82" i="8" s="1"/>
  <c r="AG82" i="8" s="1"/>
  <c r="AE90" i="8"/>
  <c r="AF90" i="8" s="1"/>
  <c r="AG90" i="8" s="1"/>
  <c r="Y98" i="8"/>
  <c r="Z98" i="8" s="1"/>
  <c r="AA98" i="8" s="1"/>
  <c r="AE114" i="8"/>
  <c r="AF114" i="8" s="1"/>
  <c r="AG114" i="8" s="1"/>
  <c r="Y138" i="8"/>
  <c r="Z138" i="8" s="1"/>
  <c r="AA138" i="8" s="1"/>
  <c r="AE147" i="8"/>
  <c r="AF147" i="8" s="1"/>
  <c r="AG147" i="8" s="1"/>
  <c r="AE154" i="8"/>
  <c r="AF154" i="8" s="1"/>
  <c r="AG154" i="8" s="1"/>
  <c r="Y170" i="8"/>
  <c r="Z170" i="8" s="1"/>
  <c r="AA170" i="8" s="1"/>
  <c r="AE178" i="8"/>
  <c r="AF178" i="8" s="1"/>
  <c r="AG178" i="8" s="1"/>
  <c r="Y186" i="8"/>
  <c r="Z186" i="8" s="1"/>
  <c r="AA186" i="8" s="1"/>
  <c r="AE195" i="8"/>
  <c r="AF195" i="8" s="1"/>
  <c r="AG195" i="8" s="1"/>
  <c r="Y218" i="8"/>
  <c r="Z218" i="8" s="1"/>
  <c r="AA218" i="8" s="1"/>
  <c r="AE30" i="8"/>
  <c r="AF30" i="8" s="1"/>
  <c r="AG30" i="8" s="1"/>
  <c r="AE11" i="8"/>
  <c r="AF11" i="8" s="1"/>
  <c r="AG11" i="8" s="1"/>
  <c r="AE171" i="8"/>
  <c r="AF171" i="8" s="1"/>
  <c r="AG171" i="8" s="1"/>
  <c r="AE200" i="8"/>
  <c r="AF200" i="8" s="1"/>
  <c r="AG200" i="8" s="1"/>
  <c r="Y3" i="8"/>
  <c r="Z3" i="8" s="1"/>
  <c r="AE67" i="8"/>
  <c r="AF67" i="8" s="1"/>
  <c r="AG67" i="8" s="1"/>
  <c r="Y99" i="8"/>
  <c r="Z99" i="8" s="1"/>
  <c r="AA99" i="8" s="1"/>
  <c r="AE148" i="8"/>
  <c r="AF148" i="8" s="1"/>
  <c r="AG148" i="8" s="1"/>
  <c r="Y12" i="8"/>
  <c r="Z12" i="8" s="1"/>
  <c r="AA12" i="8" s="1"/>
  <c r="Y36" i="8"/>
  <c r="Z36" i="8" s="1"/>
  <c r="AA36" i="8" s="1"/>
  <c r="AE52" i="8"/>
  <c r="AF52" i="8" s="1"/>
  <c r="AG52" i="8" s="1"/>
  <c r="Y60" i="8"/>
  <c r="Z60" i="8" s="1"/>
  <c r="AA60" i="8" s="1"/>
  <c r="AE68" i="8"/>
  <c r="AF68" i="8" s="1"/>
  <c r="AG68" i="8" s="1"/>
  <c r="AE84" i="8"/>
  <c r="AF84" i="8" s="1"/>
  <c r="AG84" i="8" s="1"/>
  <c r="AE116" i="8"/>
  <c r="AF116" i="8" s="1"/>
  <c r="AG116" i="8" s="1"/>
  <c r="Y140" i="8"/>
  <c r="Z140" i="8" s="1"/>
  <c r="AA140" i="8" s="1"/>
  <c r="AE164" i="8"/>
  <c r="AF164" i="8" s="1"/>
  <c r="AG164" i="8" s="1"/>
  <c r="AE172" i="8"/>
  <c r="AF172" i="8" s="1"/>
  <c r="AG172" i="8" s="1"/>
  <c r="Y201" i="8"/>
  <c r="Z201" i="8" s="1"/>
  <c r="AA201" i="8" s="1"/>
  <c r="AE188" i="8"/>
  <c r="AF188" i="8" s="1"/>
  <c r="AG188" i="8" s="1"/>
  <c r="Y212" i="8"/>
  <c r="Z212" i="8" s="1"/>
  <c r="AA212" i="8" s="1"/>
  <c r="AE35" i="8"/>
  <c r="AF35" i="8" s="1"/>
  <c r="AG35" i="8" s="1"/>
  <c r="Y123" i="8"/>
  <c r="Z123" i="8" s="1"/>
  <c r="AA123" i="8" s="1"/>
  <c r="Y163" i="8"/>
  <c r="Z163" i="8" s="1"/>
  <c r="AA163" i="8" s="1"/>
  <c r="AE132" i="8"/>
  <c r="AF132" i="8" s="1"/>
  <c r="AG132" i="8" s="1"/>
  <c r="Y149" i="8"/>
  <c r="Z149" i="8" s="1"/>
  <c r="AA149" i="8" s="1"/>
  <c r="AE21" i="8"/>
  <c r="AF21" i="8" s="1"/>
  <c r="AG21" i="8" s="1"/>
  <c r="AE29" i="8"/>
  <c r="AF29" i="8" s="1"/>
  <c r="AG29" i="8" s="1"/>
  <c r="AE37" i="8"/>
  <c r="AF37" i="8" s="1"/>
  <c r="AG37" i="8" s="1"/>
  <c r="AE53" i="8"/>
  <c r="AF53" i="8" s="1"/>
  <c r="AG53" i="8" s="1"/>
  <c r="Y77" i="8"/>
  <c r="Z77" i="8" s="1"/>
  <c r="AA77" i="8" s="1"/>
  <c r="Y93" i="8"/>
  <c r="Z93" i="8" s="1"/>
  <c r="AA93" i="8" s="1"/>
  <c r="AE101" i="8"/>
  <c r="AF101" i="8" s="1"/>
  <c r="AG101" i="8" s="1"/>
  <c r="Y117" i="8"/>
  <c r="Z117" i="8" s="1"/>
  <c r="AA117" i="8" s="1"/>
  <c r="Y125" i="8"/>
  <c r="Z125" i="8" s="1"/>
  <c r="AA125" i="8" s="1"/>
  <c r="AE133" i="8"/>
  <c r="AF133" i="8" s="1"/>
  <c r="AG133" i="8" s="1"/>
  <c r="AE142" i="8"/>
  <c r="AF142" i="8" s="1"/>
  <c r="AG142" i="8" s="1"/>
  <c r="Y141" i="8"/>
  <c r="Z141" i="8" s="1"/>
  <c r="AA141" i="8" s="1"/>
  <c r="AE157" i="8"/>
  <c r="AF157" i="8" s="1"/>
  <c r="AG157" i="8" s="1"/>
  <c r="AE165" i="8"/>
  <c r="AF165" i="8" s="1"/>
  <c r="AG165" i="8" s="1"/>
  <c r="Y173" i="8"/>
  <c r="Z173" i="8" s="1"/>
  <c r="AA173" i="8" s="1"/>
  <c r="Y181" i="8"/>
  <c r="Z181" i="8" s="1"/>
  <c r="AA181" i="8" s="1"/>
  <c r="AE189" i="8"/>
  <c r="AF189" i="8" s="1"/>
  <c r="AG189" i="8" s="1"/>
  <c r="Y205" i="8"/>
  <c r="Z205" i="8" s="1"/>
  <c r="AA205" i="8" s="1"/>
  <c r="Y213" i="8"/>
  <c r="Z213" i="8" s="1"/>
  <c r="AA213" i="8" s="1"/>
  <c r="AE221" i="8"/>
  <c r="AF221" i="8" s="1"/>
  <c r="AG221" i="8" s="1"/>
  <c r="Y130" i="8"/>
  <c r="Z130" i="8" s="1"/>
  <c r="AA130" i="8" s="1"/>
  <c r="AE78" i="8"/>
  <c r="AF78" i="8" s="1"/>
  <c r="AG78" i="8" s="1"/>
  <c r="AE102" i="8"/>
  <c r="AF102" i="8" s="1"/>
  <c r="AG102" i="8" s="1"/>
  <c r="AE166" i="8"/>
  <c r="AF166" i="8" s="1"/>
  <c r="AG166" i="8" s="1"/>
  <c r="Y174" i="8"/>
  <c r="Z174" i="8" s="1"/>
  <c r="AA174" i="8" s="1"/>
  <c r="Y192" i="8"/>
  <c r="Z192" i="8" s="1"/>
  <c r="AA192" i="8" s="1"/>
  <c r="AE182" i="8"/>
  <c r="AF182" i="8" s="1"/>
  <c r="AG182" i="8" s="1"/>
  <c r="Y206" i="8"/>
  <c r="Z206" i="8" s="1"/>
  <c r="AA206" i="8" s="1"/>
  <c r="AE214" i="8"/>
  <c r="AF214" i="8" s="1"/>
  <c r="AG214" i="8" s="1"/>
  <c r="AE222" i="8"/>
  <c r="AF222" i="8" s="1"/>
  <c r="AG222" i="8" s="1"/>
  <c r="AE139" i="8"/>
  <c r="AF139" i="8" s="1"/>
  <c r="AG139" i="8" s="1"/>
  <c r="Y20" i="8"/>
  <c r="Z20" i="8" s="1"/>
  <c r="AA20" i="8" s="1"/>
  <c r="AE94" i="8"/>
  <c r="AF94" i="8" s="1"/>
  <c r="AG94" i="8" s="1"/>
  <c r="Y118" i="8"/>
  <c r="Z118" i="8" s="1"/>
  <c r="AA118" i="8" s="1"/>
  <c r="AE7" i="8"/>
  <c r="AF7" i="8" s="1"/>
  <c r="AG7" i="8" s="1"/>
  <c r="AE47" i="8"/>
  <c r="AF47" i="8" s="1"/>
  <c r="AG47" i="8" s="1"/>
  <c r="Y63" i="8"/>
  <c r="Z63" i="8" s="1"/>
  <c r="AA63" i="8" s="1"/>
  <c r="AE79" i="8"/>
  <c r="AF79" i="8" s="1"/>
  <c r="AG79" i="8" s="1"/>
  <c r="AE87" i="8"/>
  <c r="AF87" i="8" s="1"/>
  <c r="AG87" i="8" s="1"/>
  <c r="Y95" i="8"/>
  <c r="Z95" i="8" s="1"/>
  <c r="AA95" i="8" s="1"/>
  <c r="AE111" i="8"/>
  <c r="AF111" i="8" s="1"/>
  <c r="AG111" i="8" s="1"/>
  <c r="AE119" i="8"/>
  <c r="AF119" i="8" s="1"/>
  <c r="AG119" i="8" s="1"/>
  <c r="Y127" i="8"/>
  <c r="Z127" i="8" s="1"/>
  <c r="AA127" i="8" s="1"/>
  <c r="Y135" i="8"/>
  <c r="Z135" i="8" s="1"/>
  <c r="AA135" i="8" s="1"/>
  <c r="AE144" i="8"/>
  <c r="AF144" i="8" s="1"/>
  <c r="AG144" i="8" s="1"/>
  <c r="AE151" i="8"/>
  <c r="AF151" i="8" s="1"/>
  <c r="AG151" i="8" s="1"/>
  <c r="Y167" i="8"/>
  <c r="Z167" i="8" s="1"/>
  <c r="AA167" i="8" s="1"/>
  <c r="AE175" i="8"/>
  <c r="AF175" i="8" s="1"/>
  <c r="AG175" i="8" s="1"/>
  <c r="Y196" i="8"/>
  <c r="Z196" i="8" s="1"/>
  <c r="AA196" i="8" s="1"/>
  <c r="AE183" i="8"/>
  <c r="AF183" i="8" s="1"/>
  <c r="AG183" i="8" s="1"/>
  <c r="AE191" i="8"/>
  <c r="AF191" i="8" s="1"/>
  <c r="AG191" i="8" s="1"/>
  <c r="AE207" i="8"/>
  <c r="AF207" i="8" s="1"/>
  <c r="AG207" i="8" s="1"/>
  <c r="AE215" i="8"/>
  <c r="AF215" i="8" s="1"/>
  <c r="AG215" i="8" s="1"/>
  <c r="AE223" i="8"/>
  <c r="AF223" i="8" s="1"/>
  <c r="AG223" i="8" s="1"/>
  <c r="AE131" i="8"/>
  <c r="AF131" i="8" s="1"/>
  <c r="AG131" i="8" s="1"/>
  <c r="Y155" i="8"/>
  <c r="Z155" i="8" s="1"/>
  <c r="AA155" i="8" s="1"/>
  <c r="AE4" i="8"/>
  <c r="AF4" i="8" s="1"/>
  <c r="AG4" i="8" s="1"/>
  <c r="Y110" i="8"/>
  <c r="Z110" i="8" s="1"/>
  <c r="AA110" i="8" s="1"/>
  <c r="Y134" i="8"/>
  <c r="Z134" i="8" s="1"/>
  <c r="AA134" i="8" s="1"/>
  <c r="AE23" i="8"/>
  <c r="AF23" i="8" s="1"/>
  <c r="AG23" i="8" s="1"/>
  <c r="AE39" i="8"/>
  <c r="AF39" i="8" s="1"/>
  <c r="AG39" i="8" s="1"/>
  <c r="Y71" i="8"/>
  <c r="Z71" i="8" s="1"/>
  <c r="AA71" i="8" s="1"/>
  <c r="AE24" i="8"/>
  <c r="AF24" i="8" s="1"/>
  <c r="AG24" i="8" s="1"/>
  <c r="AE32" i="8"/>
  <c r="AF32" i="8" s="1"/>
  <c r="AG32" i="8" s="1"/>
  <c r="AE40" i="8"/>
  <c r="AF40" i="8" s="1"/>
  <c r="AG40" i="8" s="1"/>
  <c r="Y48" i="8"/>
  <c r="Z48" i="8" s="1"/>
  <c r="AA48" i="8" s="1"/>
  <c r="AE56" i="8"/>
  <c r="AF56" i="8" s="1"/>
  <c r="AG56" i="8" s="1"/>
  <c r="Y64" i="8"/>
  <c r="Z64" i="8" s="1"/>
  <c r="AA64" i="8" s="1"/>
  <c r="Y72" i="8"/>
  <c r="Z72" i="8" s="1"/>
  <c r="AA72" i="8" s="1"/>
  <c r="Y112" i="8"/>
  <c r="Z112" i="8" s="1"/>
  <c r="AA112" i="8" s="1"/>
  <c r="AE120" i="8"/>
  <c r="AF120" i="8" s="1"/>
  <c r="AG120" i="8" s="1"/>
  <c r="Y128" i="8"/>
  <c r="Z128" i="8" s="1"/>
  <c r="AA128" i="8" s="1"/>
  <c r="Y145" i="8"/>
  <c r="Z145" i="8" s="1"/>
  <c r="AA145" i="8" s="1"/>
  <c r="AE152" i="8"/>
  <c r="AF152" i="8" s="1"/>
  <c r="AG152" i="8" s="1"/>
  <c r="Y160" i="8"/>
  <c r="Z160" i="8" s="1"/>
  <c r="AA160" i="8" s="1"/>
  <c r="AE168" i="8"/>
  <c r="AF168" i="8" s="1"/>
  <c r="AG168" i="8" s="1"/>
  <c r="AE176" i="8"/>
  <c r="AF176" i="8" s="1"/>
  <c r="AG176" i="8" s="1"/>
  <c r="AE197" i="8"/>
  <c r="AF197" i="8" s="1"/>
  <c r="AG197" i="8" s="1"/>
  <c r="AE184" i="8"/>
  <c r="AF184" i="8" s="1"/>
  <c r="AG184" i="8" s="1"/>
  <c r="AE193" i="8"/>
  <c r="AF193" i="8" s="1"/>
  <c r="AG193" i="8" s="1"/>
  <c r="AE208" i="8"/>
  <c r="AF208" i="8" s="1"/>
  <c r="AG208" i="8" s="1"/>
  <c r="AE216" i="8"/>
  <c r="AF216" i="8" s="1"/>
  <c r="AG216" i="8" s="1"/>
  <c r="Y224" i="8"/>
  <c r="Z224" i="8" s="1"/>
  <c r="AA224" i="8" s="1"/>
  <c r="AE33" i="8"/>
  <c r="AF33" i="8" s="1"/>
  <c r="AG33" i="8" s="1"/>
  <c r="AE57" i="8"/>
  <c r="AF57" i="8" s="1"/>
  <c r="AG57" i="8" s="1"/>
  <c r="AE65" i="8"/>
  <c r="AF65" i="8" s="1"/>
  <c r="AG65" i="8" s="1"/>
  <c r="AE73" i="8"/>
  <c r="AF73" i="8" s="1"/>
  <c r="AG73" i="8" s="1"/>
  <c r="AE113" i="8"/>
  <c r="AF113" i="8" s="1"/>
  <c r="AG113" i="8" s="1"/>
  <c r="AE137" i="8"/>
  <c r="AF137" i="8" s="1"/>
  <c r="AG137" i="8" s="1"/>
  <c r="Y146" i="8"/>
  <c r="Z146" i="8" s="1"/>
  <c r="AA146" i="8" s="1"/>
  <c r="AE153" i="8"/>
  <c r="AF153" i="8" s="1"/>
  <c r="AG153" i="8" s="1"/>
  <c r="AE169" i="8"/>
  <c r="AF169" i="8" s="1"/>
  <c r="AG169" i="8" s="1"/>
  <c r="Y177" i="8"/>
  <c r="Z177" i="8" s="1"/>
  <c r="AA177" i="8" s="1"/>
  <c r="AE185" i="8"/>
  <c r="AF185" i="8" s="1"/>
  <c r="AG185" i="8" s="1"/>
  <c r="Y194" i="8"/>
  <c r="Z194" i="8" s="1"/>
  <c r="AA194" i="8" s="1"/>
  <c r="Y209" i="8"/>
  <c r="Z209" i="8" s="1"/>
  <c r="AA209" i="8" s="1"/>
  <c r="AE210" i="8"/>
  <c r="AF210" i="8" s="1"/>
  <c r="AG210" i="8" s="1"/>
  <c r="Y28" i="8"/>
  <c r="Z28" i="8" s="1"/>
  <c r="AA28" i="8" s="1"/>
  <c r="Y76" i="8"/>
  <c r="Z76" i="8" s="1"/>
  <c r="AA76" i="8" s="1"/>
  <c r="Y124" i="8"/>
  <c r="Z124" i="8" s="1"/>
  <c r="AA124" i="8" s="1"/>
  <c r="Y156" i="8"/>
  <c r="Z156" i="8" s="1"/>
  <c r="AA156" i="8" s="1"/>
  <c r="AE204" i="8"/>
  <c r="AF204" i="8" s="1"/>
  <c r="AG204" i="8" s="1"/>
  <c r="Y220" i="8"/>
  <c r="Z220" i="8" s="1"/>
  <c r="AA220" i="8" s="1"/>
  <c r="Y219" i="8"/>
  <c r="Z219" i="8" s="1"/>
  <c r="AA219" i="8" s="1"/>
  <c r="Y215" i="8"/>
  <c r="Z215" i="8" s="1"/>
  <c r="AA215" i="8" s="1"/>
  <c r="Y210" i="8"/>
  <c r="Z210" i="8" s="1"/>
  <c r="AA210" i="8" s="1"/>
  <c r="Y200" i="8"/>
  <c r="Z200" i="8" s="1"/>
  <c r="AA200" i="8" s="1"/>
  <c r="Y184" i="8"/>
  <c r="Z184" i="8" s="1"/>
  <c r="AA184" i="8" s="1"/>
  <c r="AE162" i="8"/>
  <c r="AF162" i="8" s="1"/>
  <c r="AG162" i="8" s="1"/>
  <c r="AE186" i="8"/>
  <c r="AF186" i="8" s="1"/>
  <c r="AG186" i="8" s="1"/>
  <c r="Y204" i="8"/>
  <c r="Z204" i="8" s="1"/>
  <c r="AA204" i="8" s="1"/>
  <c r="Y188" i="8"/>
  <c r="Z188" i="8" s="1"/>
  <c r="AA188" i="8" s="1"/>
  <c r="Y199" i="8"/>
  <c r="Z199" i="8" s="1"/>
  <c r="AA199" i="8" s="1"/>
  <c r="Y132" i="8"/>
  <c r="Z132" i="8" s="1"/>
  <c r="AA132" i="8" s="1"/>
  <c r="AE212" i="8"/>
  <c r="AF212" i="8" s="1"/>
  <c r="AG212" i="8" s="1"/>
  <c r="Y202" i="8"/>
  <c r="Z202" i="8" s="1"/>
  <c r="AA202" i="8" s="1"/>
  <c r="Y180" i="8"/>
  <c r="Z180" i="8" s="1"/>
  <c r="AA180" i="8" s="1"/>
  <c r="Y195" i="8"/>
  <c r="Z195" i="8" s="1"/>
  <c r="AA195" i="8" s="1"/>
  <c r="Y106" i="8"/>
  <c r="Z106" i="8" s="1"/>
  <c r="AA106" i="8" s="1"/>
  <c r="Y68" i="8"/>
  <c r="Z68" i="8" s="1"/>
  <c r="AA68" i="8" s="1"/>
  <c r="AE218" i="8"/>
  <c r="AF218" i="8" s="1"/>
  <c r="AG218" i="8" s="1"/>
  <c r="AE220" i="8"/>
  <c r="AF220" i="8" s="1"/>
  <c r="AG220" i="8" s="1"/>
  <c r="Y104" i="8"/>
  <c r="Z104" i="8" s="1"/>
  <c r="AA104" i="8" s="1"/>
  <c r="Y187" i="8"/>
  <c r="Z187" i="8" s="1"/>
  <c r="AA187" i="8" s="1"/>
  <c r="Y4" i="8"/>
  <c r="Z4" i="8" s="1"/>
  <c r="AA4" i="8" s="1"/>
  <c r="AE201" i="8"/>
  <c r="AF201" i="8" s="1"/>
  <c r="AG201" i="8" s="1"/>
  <c r="AE156" i="8"/>
  <c r="AF156" i="8" s="1"/>
  <c r="AG156" i="8" s="1"/>
  <c r="Y40" i="8"/>
  <c r="Z40" i="8" s="1"/>
  <c r="AA40" i="8" s="1"/>
  <c r="Y183" i="8"/>
  <c r="Z183" i="8" s="1"/>
  <c r="AA183" i="8" s="1"/>
  <c r="Y114" i="8"/>
  <c r="Z114" i="8" s="1"/>
  <c r="AA114" i="8" s="1"/>
  <c r="AE66" i="8"/>
  <c r="AF66" i="8" s="1"/>
  <c r="AG66" i="8" s="1"/>
  <c r="AE60" i="8"/>
  <c r="AF60" i="8" s="1"/>
  <c r="AG60" i="8" s="1"/>
  <c r="AE167" i="8"/>
  <c r="AF167" i="8" s="1"/>
  <c r="AG167" i="8" s="1"/>
  <c r="Y166" i="8"/>
  <c r="Z166" i="8" s="1"/>
  <c r="AA166" i="8" s="1"/>
  <c r="Y151" i="8"/>
  <c r="Z151" i="8" s="1"/>
  <c r="AA151" i="8" s="1"/>
  <c r="AE98" i="8"/>
  <c r="AF98" i="8" s="1"/>
  <c r="AG98" i="8" s="1"/>
  <c r="AE92" i="8"/>
  <c r="AF92" i="8" s="1"/>
  <c r="AG92" i="8" s="1"/>
  <c r="AE36" i="8"/>
  <c r="AF36" i="8" s="1"/>
  <c r="AG36" i="8" s="1"/>
  <c r="Y74" i="8"/>
  <c r="Z74" i="8" s="1"/>
  <c r="AA74" i="8" s="1"/>
  <c r="Y119" i="8"/>
  <c r="Z119" i="8" s="1"/>
  <c r="AA119" i="8" s="1"/>
  <c r="AE130" i="8"/>
  <c r="AF130" i="8" s="1"/>
  <c r="AG130" i="8" s="1"/>
  <c r="AE124" i="8"/>
  <c r="AF124" i="8" s="1"/>
  <c r="AG124" i="8" s="1"/>
  <c r="Y23" i="8"/>
  <c r="Z23" i="8" s="1"/>
  <c r="AA23" i="8" s="1"/>
  <c r="Y169" i="8"/>
  <c r="Z169" i="8" s="1"/>
  <c r="AA169" i="8" s="1"/>
  <c r="Y73" i="8"/>
  <c r="Z73" i="8" s="1"/>
  <c r="AA73" i="8" s="1"/>
  <c r="AE46" i="8"/>
  <c r="AF46" i="8" s="1"/>
  <c r="AG46" i="8" s="1"/>
  <c r="AE93" i="8"/>
  <c r="AF93" i="8" s="1"/>
  <c r="AG93" i="8" s="1"/>
  <c r="AE31" i="8"/>
  <c r="AF31" i="8" s="1"/>
  <c r="AG31" i="8" s="1"/>
  <c r="AE194" i="8"/>
  <c r="AF194" i="8" s="1"/>
  <c r="AG194" i="8" s="1"/>
  <c r="AE135" i="8"/>
  <c r="AF135" i="8" s="1"/>
  <c r="AG135" i="8" s="1"/>
  <c r="AE13" i="8"/>
  <c r="AF13" i="8" s="1"/>
  <c r="AG13" i="8" s="1"/>
  <c r="Y164" i="8"/>
  <c r="Z164" i="8" s="1"/>
  <c r="AA164" i="8" s="1"/>
  <c r="Y96" i="8"/>
  <c r="Z96" i="8" s="1"/>
  <c r="AA96" i="8" s="1"/>
  <c r="Y32" i="8"/>
  <c r="Z32" i="8" s="1"/>
  <c r="AA32" i="8" s="1"/>
  <c r="Y154" i="8"/>
  <c r="Z154" i="8" s="1"/>
  <c r="AA154" i="8" s="1"/>
  <c r="Y62" i="8"/>
  <c r="Z62" i="8" s="1"/>
  <c r="AA62" i="8" s="1"/>
  <c r="Y211" i="8"/>
  <c r="Z211" i="8" s="1"/>
  <c r="AA211" i="8" s="1"/>
  <c r="Y179" i="8"/>
  <c r="Z179" i="8" s="1"/>
  <c r="AA179" i="8" s="1"/>
  <c r="Y147" i="8"/>
  <c r="Z147" i="8" s="1"/>
  <c r="AA147" i="8" s="1"/>
  <c r="Y115" i="8"/>
  <c r="Z115" i="8" s="1"/>
  <c r="AA115" i="8" s="1"/>
  <c r="Y83" i="8"/>
  <c r="Z83" i="8" s="1"/>
  <c r="AA83" i="8" s="1"/>
  <c r="Y51" i="8"/>
  <c r="Z51" i="8" s="1"/>
  <c r="AA51" i="8" s="1"/>
  <c r="Y19" i="8"/>
  <c r="Z19" i="8" s="1"/>
  <c r="AA19" i="8" s="1"/>
  <c r="Y198" i="8"/>
  <c r="Z198" i="8" s="1"/>
  <c r="AA198" i="8" s="1"/>
  <c r="Y94" i="8"/>
  <c r="Z94" i="8" s="1"/>
  <c r="AA94" i="8" s="1"/>
  <c r="Y102" i="8"/>
  <c r="Z102" i="8" s="1"/>
  <c r="AA102" i="8" s="1"/>
  <c r="Y18" i="8"/>
  <c r="Z18" i="8" s="1"/>
  <c r="AA18" i="8" s="1"/>
  <c r="Y197" i="8"/>
  <c r="Z197" i="8" s="1"/>
  <c r="AA197" i="8" s="1"/>
  <c r="Y165" i="8"/>
  <c r="Z165" i="8" s="1"/>
  <c r="AA165" i="8" s="1"/>
  <c r="Y133" i="8"/>
  <c r="Z133" i="8" s="1"/>
  <c r="AA133" i="8" s="1"/>
  <c r="Y101" i="8"/>
  <c r="Z101" i="8" s="1"/>
  <c r="AA101" i="8" s="1"/>
  <c r="Y37" i="8"/>
  <c r="Z37" i="8" s="1"/>
  <c r="AA37" i="8" s="1"/>
  <c r="Y5" i="8"/>
  <c r="Z5" i="8" s="1"/>
  <c r="AA5" i="8" s="1"/>
  <c r="Y176" i="8"/>
  <c r="Z176" i="8" s="1"/>
  <c r="AA176" i="8" s="1"/>
  <c r="AE3" i="8"/>
  <c r="AF3" i="8" s="1"/>
  <c r="AE42" i="8"/>
  <c r="AF42" i="8" s="1"/>
  <c r="AG42" i="8" s="1"/>
  <c r="AE81" i="8"/>
  <c r="AF81" i="8" s="1"/>
  <c r="AG81" i="8" s="1"/>
  <c r="AE117" i="8"/>
  <c r="AF117" i="8" s="1"/>
  <c r="AG117" i="8" s="1"/>
  <c r="AE77" i="8"/>
  <c r="AF77" i="8" s="1"/>
  <c r="AG77" i="8" s="1"/>
  <c r="AE27" i="8"/>
  <c r="AF27" i="8" s="1"/>
  <c r="AG27" i="8" s="1"/>
  <c r="AE107" i="8"/>
  <c r="AF107" i="8" s="1"/>
  <c r="AG107" i="8" s="1"/>
  <c r="AE70" i="8"/>
  <c r="AF70" i="8" s="1"/>
  <c r="AG70" i="8" s="1"/>
  <c r="AE134" i="8"/>
  <c r="AF134" i="8" s="1"/>
  <c r="AG134" i="8" s="1"/>
  <c r="AE141" i="8"/>
  <c r="AF141" i="8" s="1"/>
  <c r="AG141" i="8" s="1"/>
  <c r="AE173" i="8"/>
  <c r="AF173" i="8" s="1"/>
  <c r="AG173" i="8" s="1"/>
  <c r="AE205" i="8"/>
  <c r="AF205" i="8" s="1"/>
  <c r="AG205" i="8" s="1"/>
  <c r="AE64" i="8"/>
  <c r="AF64" i="8" s="1"/>
  <c r="AG64" i="8" s="1"/>
  <c r="AE128" i="8"/>
  <c r="AF128" i="8" s="1"/>
  <c r="AG128" i="8" s="1"/>
  <c r="AE160" i="8"/>
  <c r="AF160" i="8" s="1"/>
  <c r="AG160" i="8" s="1"/>
  <c r="AE192" i="8"/>
  <c r="AF192" i="8" s="1"/>
  <c r="AG192" i="8" s="1"/>
  <c r="AE224" i="8"/>
  <c r="AF224" i="8" s="1"/>
  <c r="AG224" i="8" s="1"/>
  <c r="AE203" i="8"/>
  <c r="AF203" i="8" s="1"/>
  <c r="AG203" i="8" s="1"/>
  <c r="AE163" i="8"/>
  <c r="AF163" i="8" s="1"/>
  <c r="AG163" i="8" s="1"/>
  <c r="AE105" i="8"/>
  <c r="AF105" i="8" s="1"/>
  <c r="AG105" i="8" s="1"/>
  <c r="AE41" i="8"/>
  <c r="AF41" i="8" s="1"/>
  <c r="AG41" i="8" s="1"/>
  <c r="AE9" i="8"/>
  <c r="AF9" i="8" s="1"/>
  <c r="AG9" i="8" s="1"/>
  <c r="Y87" i="8"/>
  <c r="Z87" i="8" s="1"/>
  <c r="AA87" i="8" s="1"/>
  <c r="Y30" i="8"/>
  <c r="Z30" i="8" s="1"/>
  <c r="AA30" i="8" s="1"/>
  <c r="Y137" i="8"/>
  <c r="Z137" i="8" s="1"/>
  <c r="AA137" i="8" s="1"/>
  <c r="AE6" i="8"/>
  <c r="AF6" i="8" s="1"/>
  <c r="AG6" i="8" s="1"/>
  <c r="AE45" i="8"/>
  <c r="AF45" i="8" s="1"/>
  <c r="AG45" i="8" s="1"/>
  <c r="Y88" i="8"/>
  <c r="Z88" i="8" s="1"/>
  <c r="AA88" i="8" s="1"/>
  <c r="Y24" i="8"/>
  <c r="Z24" i="8" s="1"/>
  <c r="AA24" i="8" s="1"/>
  <c r="Y142" i="8"/>
  <c r="Z142" i="8" s="1"/>
  <c r="AA142" i="8" s="1"/>
  <c r="Y207" i="8"/>
  <c r="Z207" i="8" s="1"/>
  <c r="AA207" i="8" s="1"/>
  <c r="Y175" i="8"/>
  <c r="Z175" i="8" s="1"/>
  <c r="AA175" i="8" s="1"/>
  <c r="Y143" i="8"/>
  <c r="Z143" i="8" s="1"/>
  <c r="AA143" i="8" s="1"/>
  <c r="Y111" i="8"/>
  <c r="Z111" i="8" s="1"/>
  <c r="AA111" i="8" s="1"/>
  <c r="Y79" i="8"/>
  <c r="Z79" i="8" s="1"/>
  <c r="AA79" i="8" s="1"/>
  <c r="Y47" i="8"/>
  <c r="Z47" i="8" s="1"/>
  <c r="AA47" i="8" s="1"/>
  <c r="Y15" i="8"/>
  <c r="Z15" i="8" s="1"/>
  <c r="AA15" i="8" s="1"/>
  <c r="Y82" i="8"/>
  <c r="Z82" i="8" s="1"/>
  <c r="AA82" i="8" s="1"/>
  <c r="Y182" i="8"/>
  <c r="Z182" i="8" s="1"/>
  <c r="AA182" i="8" s="1"/>
  <c r="Y90" i="8"/>
  <c r="Z90" i="8" s="1"/>
  <c r="AA90" i="8" s="1"/>
  <c r="Y193" i="8"/>
  <c r="Z193" i="8" s="1"/>
  <c r="AA193" i="8" s="1"/>
  <c r="Y161" i="8"/>
  <c r="Z161" i="8" s="1"/>
  <c r="AA161" i="8" s="1"/>
  <c r="Y129" i="8"/>
  <c r="Z129" i="8" s="1"/>
  <c r="AA129" i="8" s="1"/>
  <c r="Y97" i="8"/>
  <c r="Z97" i="8" s="1"/>
  <c r="AA97" i="8" s="1"/>
  <c r="Y65" i="8"/>
  <c r="Z65" i="8" s="1"/>
  <c r="AA65" i="8" s="1"/>
  <c r="Y33" i="8"/>
  <c r="Z33" i="8" s="1"/>
  <c r="AA33" i="8" s="1"/>
  <c r="Y172" i="8"/>
  <c r="Z172" i="8" s="1"/>
  <c r="AA172" i="8" s="1"/>
  <c r="Y116" i="8"/>
  <c r="Z116" i="8" s="1"/>
  <c r="AA116" i="8" s="1"/>
  <c r="Y52" i="8"/>
  <c r="Z52" i="8" s="1"/>
  <c r="AA52" i="8" s="1"/>
  <c r="AE125" i="8"/>
  <c r="AF125" i="8" s="1"/>
  <c r="AG125" i="8" s="1"/>
  <c r="AE38" i="8"/>
  <c r="AF38" i="8" s="1"/>
  <c r="AG38" i="8" s="1"/>
  <c r="AE61" i="8"/>
  <c r="AF61" i="8" s="1"/>
  <c r="AG61" i="8" s="1"/>
  <c r="AE91" i="8"/>
  <c r="AF91" i="8" s="1"/>
  <c r="AG91" i="8" s="1"/>
  <c r="AE138" i="8"/>
  <c r="AF138" i="8" s="1"/>
  <c r="AG138" i="8" s="1"/>
  <c r="AE170" i="8"/>
  <c r="AF170" i="8" s="1"/>
  <c r="AG170" i="8" s="1"/>
  <c r="AE145" i="8"/>
  <c r="AF145" i="8" s="1"/>
  <c r="AG145" i="8" s="1"/>
  <c r="AE177" i="8"/>
  <c r="AF177" i="8" s="1"/>
  <c r="AG177" i="8" s="1"/>
  <c r="AE209" i="8"/>
  <c r="AF209" i="8" s="1"/>
  <c r="AG209" i="8" s="1"/>
  <c r="AE100" i="8"/>
  <c r="AF100" i="8" s="1"/>
  <c r="AG100" i="8" s="1"/>
  <c r="AE196" i="8"/>
  <c r="AF196" i="8" s="1"/>
  <c r="AG196" i="8" s="1"/>
  <c r="AE89" i="8"/>
  <c r="AF89" i="8" s="1"/>
  <c r="AG89" i="8" s="1"/>
  <c r="AE28" i="8"/>
  <c r="AF28" i="8" s="1"/>
  <c r="AG28" i="8" s="1"/>
  <c r="Y55" i="8"/>
  <c r="Z55" i="8" s="1"/>
  <c r="AA55" i="8" s="1"/>
  <c r="Y144" i="8"/>
  <c r="Z144" i="8" s="1"/>
  <c r="AA144" i="8" s="1"/>
  <c r="Y80" i="8"/>
  <c r="Z80" i="8" s="1"/>
  <c r="AA80" i="8" s="1"/>
  <c r="Y34" i="8"/>
  <c r="Z34" i="8" s="1"/>
  <c r="AA34" i="8" s="1"/>
  <c r="Y171" i="8"/>
  <c r="Z171" i="8" s="1"/>
  <c r="AA171" i="8" s="1"/>
  <c r="Y139" i="8"/>
  <c r="Z139" i="8" s="1"/>
  <c r="AA139" i="8" s="1"/>
  <c r="Y75" i="8"/>
  <c r="Z75" i="8" s="1"/>
  <c r="AA75" i="8" s="1"/>
  <c r="Y43" i="8"/>
  <c r="Z43" i="8" s="1"/>
  <c r="AA43" i="8" s="1"/>
  <c r="Y11" i="8"/>
  <c r="Z11" i="8" s="1"/>
  <c r="AA11" i="8" s="1"/>
  <c r="Y178" i="8"/>
  <c r="Z178" i="8" s="1"/>
  <c r="AA178" i="8" s="1"/>
  <c r="Y78" i="8"/>
  <c r="Z78" i="8" s="1"/>
  <c r="AA78" i="8" s="1"/>
  <c r="Y221" i="8"/>
  <c r="Z221" i="8" s="1"/>
  <c r="AA221" i="8" s="1"/>
  <c r="Y189" i="8"/>
  <c r="Z189" i="8" s="1"/>
  <c r="AA189" i="8" s="1"/>
  <c r="Y157" i="8"/>
  <c r="Z157" i="8" s="1"/>
  <c r="AA157" i="8" s="1"/>
  <c r="Y29" i="8"/>
  <c r="Z29" i="8" s="1"/>
  <c r="AA29" i="8" s="1"/>
  <c r="Y216" i="8"/>
  <c r="Z216" i="8" s="1"/>
  <c r="AA216" i="8" s="1"/>
  <c r="Y168" i="8"/>
  <c r="Z168" i="8" s="1"/>
  <c r="AA168" i="8" s="1"/>
  <c r="Y108" i="8"/>
  <c r="Z108" i="8" s="1"/>
  <c r="AA108" i="8" s="1"/>
  <c r="Y44" i="8"/>
  <c r="Z44" i="8" s="1"/>
  <c r="AA44" i="8" s="1"/>
  <c r="AE123" i="8"/>
  <c r="AF123" i="8" s="1"/>
  <c r="AG123" i="8" s="1"/>
  <c r="AE50" i="8"/>
  <c r="AF50" i="8" s="1"/>
  <c r="AG50" i="8" s="1"/>
  <c r="AE95" i="8"/>
  <c r="AF95" i="8" s="1"/>
  <c r="AG95" i="8" s="1"/>
  <c r="AE110" i="8"/>
  <c r="AF110" i="8" s="1"/>
  <c r="AG110" i="8" s="1"/>
  <c r="AE174" i="8"/>
  <c r="AF174" i="8" s="1"/>
  <c r="AG174" i="8" s="1"/>
  <c r="AE206" i="8"/>
  <c r="AF206" i="8" s="1"/>
  <c r="AG206" i="8" s="1"/>
  <c r="AE149" i="8"/>
  <c r="AF149" i="8" s="1"/>
  <c r="AG149" i="8" s="1"/>
  <c r="AE181" i="8"/>
  <c r="AF181" i="8" s="1"/>
  <c r="AG181" i="8" s="1"/>
  <c r="AE213" i="8"/>
  <c r="AF213" i="8" s="1"/>
  <c r="AG213" i="8" s="1"/>
  <c r="AE72" i="8"/>
  <c r="AF72" i="8" s="1"/>
  <c r="AG72" i="8" s="1"/>
  <c r="AE155" i="8"/>
  <c r="AF155" i="8" s="1"/>
  <c r="AG155" i="8" s="1"/>
  <c r="AE127" i="8"/>
  <c r="AF127" i="8" s="1"/>
  <c r="AG127" i="8" s="1"/>
  <c r="AE71" i="8"/>
  <c r="AF71" i="8" s="1"/>
  <c r="AG71" i="8" s="1"/>
  <c r="Y8" i="8"/>
  <c r="Z8" i="8" s="1"/>
  <c r="AA8" i="8" s="1"/>
  <c r="Y122" i="8"/>
  <c r="Z122" i="8" s="1"/>
  <c r="AA122" i="8" s="1"/>
  <c r="Y22" i="8"/>
  <c r="Z22" i="8" s="1"/>
  <c r="AA22" i="8" s="1"/>
  <c r="Y103" i="8"/>
  <c r="Z103" i="8" s="1"/>
  <c r="AA103" i="8" s="1"/>
  <c r="Y39" i="8"/>
  <c r="Z39" i="8" s="1"/>
  <c r="AA39" i="8" s="1"/>
  <c r="Y7" i="8"/>
  <c r="Z7" i="8" s="1"/>
  <c r="AA7" i="8" s="1"/>
  <c r="Y54" i="8"/>
  <c r="Z54" i="8" s="1"/>
  <c r="AA54" i="8" s="1"/>
  <c r="Y158" i="8"/>
  <c r="Z158" i="8" s="1"/>
  <c r="AA158" i="8" s="1"/>
  <c r="Y217" i="8"/>
  <c r="Z217" i="8" s="1"/>
  <c r="AA217" i="8" s="1"/>
  <c r="Y185" i="8"/>
  <c r="Z185" i="8" s="1"/>
  <c r="AA185" i="8" s="1"/>
  <c r="Y153" i="8"/>
  <c r="Z153" i="8" s="1"/>
  <c r="AA153" i="8" s="1"/>
  <c r="Y121" i="8"/>
  <c r="Z121" i="8" s="1"/>
  <c r="AA121" i="8" s="1"/>
  <c r="Y57" i="8"/>
  <c r="Z57" i="8" s="1"/>
  <c r="AA57" i="8" s="1"/>
  <c r="Y25" i="8"/>
  <c r="Z25" i="8" s="1"/>
  <c r="AA25" i="8" s="1"/>
  <c r="AE99" i="8"/>
  <c r="AF99" i="8" s="1"/>
  <c r="AG99" i="8" s="1"/>
  <c r="AE26" i="8"/>
  <c r="AF26" i="8" s="1"/>
  <c r="AG26" i="8" s="1"/>
  <c r="AE59" i="8"/>
  <c r="AF59" i="8" s="1"/>
  <c r="AG59" i="8" s="1"/>
  <c r="AE146" i="8"/>
  <c r="AF146" i="8" s="1"/>
  <c r="AG146" i="8" s="1"/>
  <c r="AE76" i="8"/>
  <c r="AF76" i="8" s="1"/>
  <c r="AG76" i="8" s="1"/>
  <c r="AE140" i="8"/>
  <c r="AF140" i="8" s="1"/>
  <c r="AG140" i="8" s="1"/>
  <c r="AE20" i="8"/>
  <c r="AF20" i="8" s="1"/>
  <c r="AG20" i="8" s="1"/>
  <c r="Y214" i="8"/>
  <c r="Z214" i="8" s="1"/>
  <c r="AA214" i="8" s="1"/>
  <c r="Y10" i="8"/>
  <c r="Z10" i="8" s="1"/>
  <c r="AA10" i="8" s="1"/>
  <c r="Y131" i="8"/>
  <c r="Z131" i="8" s="1"/>
  <c r="AA131" i="8" s="1"/>
  <c r="Y67" i="8"/>
  <c r="Z67" i="8" s="1"/>
  <c r="AA67" i="8" s="1"/>
  <c r="Y35" i="8"/>
  <c r="Z35" i="8" s="1"/>
  <c r="AA35" i="8" s="1"/>
  <c r="Y222" i="8"/>
  <c r="Z222" i="8" s="1"/>
  <c r="AA222" i="8" s="1"/>
  <c r="Y150" i="8"/>
  <c r="Z150" i="8" s="1"/>
  <c r="AA150" i="8" s="1"/>
  <c r="Y58" i="8"/>
  <c r="Z58" i="8" s="1"/>
  <c r="AA58" i="8" s="1"/>
  <c r="Y85" i="8"/>
  <c r="Z85" i="8" s="1"/>
  <c r="AA85" i="8" s="1"/>
  <c r="Y53" i="8"/>
  <c r="Z53" i="8" s="1"/>
  <c r="AA53" i="8" s="1"/>
  <c r="Y21" i="8"/>
  <c r="Z21" i="8" s="1"/>
  <c r="AA21" i="8" s="1"/>
  <c r="Y208" i="8"/>
  <c r="Z208" i="8" s="1"/>
  <c r="AA208" i="8" s="1"/>
  <c r="Y152" i="8"/>
  <c r="Z152" i="8" s="1"/>
  <c r="AA152" i="8" s="1"/>
  <c r="AE14" i="8"/>
  <c r="AF14" i="8" s="1"/>
  <c r="AG14" i="8" s="1"/>
  <c r="AE63" i="8"/>
  <c r="AF63" i="8" s="1"/>
  <c r="AG63" i="8" s="1"/>
  <c r="AE86" i="8"/>
  <c r="AF86" i="8" s="1"/>
  <c r="AG86" i="8" s="1"/>
  <c r="AE118" i="8"/>
  <c r="AF118" i="8" s="1"/>
  <c r="AG118" i="8" s="1"/>
  <c r="AE112" i="8"/>
  <c r="AF112" i="8" s="1"/>
  <c r="AG112" i="8" s="1"/>
  <c r="AE48" i="8"/>
  <c r="AF48" i="8" s="1"/>
  <c r="AG48" i="8" s="1"/>
  <c r="Y120" i="8"/>
  <c r="Z120" i="8" s="1"/>
  <c r="AA120" i="8" s="1"/>
  <c r="Y56" i="8"/>
  <c r="Z56" i="8" s="1"/>
  <c r="AA56" i="8" s="1"/>
  <c r="Y190" i="8"/>
  <c r="Z190" i="8" s="1"/>
  <c r="AA190" i="8" s="1"/>
  <c r="Y223" i="8"/>
  <c r="Z223" i="8" s="1"/>
  <c r="AA223" i="8" s="1"/>
  <c r="Y191" i="8"/>
  <c r="Z191" i="8" s="1"/>
  <c r="AA191" i="8" s="1"/>
  <c r="Y113" i="8"/>
  <c r="Z113" i="8" s="1"/>
  <c r="AA113" i="8" s="1"/>
  <c r="Y49" i="8"/>
  <c r="Z49" i="8" s="1"/>
  <c r="AA49" i="8" s="1"/>
  <c r="Y17" i="8"/>
  <c r="Z17" i="8" s="1"/>
  <c r="AA17" i="8" s="1"/>
  <c r="Y148" i="8"/>
  <c r="Z148" i="8" s="1"/>
  <c r="AA148" i="8" s="1"/>
  <c r="Y84" i="8"/>
  <c r="Z84" i="8" s="1"/>
  <c r="AA84" i="8" s="1"/>
  <c r="AE12" i="8"/>
  <c r="AF12" i="8" s="1"/>
  <c r="Y126" i="8"/>
  <c r="Z126" i="8" s="1"/>
  <c r="AA126" i="8" s="1"/>
  <c r="F78" i="8"/>
  <c r="F223" i="8"/>
  <c r="F52" i="8"/>
  <c r="F222" i="8"/>
  <c r="F220" i="8"/>
  <c r="F219" i="8"/>
  <c r="F218" i="8"/>
  <c r="F217" i="8"/>
  <c r="F216" i="8"/>
  <c r="F215" i="8"/>
  <c r="F214" i="8"/>
  <c r="F213" i="8"/>
  <c r="F212" i="8"/>
  <c r="F211" i="8"/>
  <c r="F210" i="8"/>
  <c r="F51" i="8"/>
  <c r="F27" i="8"/>
  <c r="F207" i="8"/>
  <c r="F206" i="8"/>
  <c r="F205" i="8"/>
  <c r="F204" i="8"/>
  <c r="F203" i="8"/>
  <c r="F195" i="8"/>
  <c r="F194" i="8"/>
  <c r="F193" i="8"/>
  <c r="F191" i="8"/>
  <c r="F190" i="8"/>
  <c r="F189" i="8"/>
  <c r="F188" i="8"/>
  <c r="F187" i="8"/>
  <c r="F186" i="8"/>
  <c r="F185" i="8"/>
  <c r="F184" i="8"/>
  <c r="F183" i="8"/>
  <c r="F182" i="8"/>
  <c r="F202" i="8"/>
  <c r="F201" i="8"/>
  <c r="F200" i="8"/>
  <c r="F199" i="8"/>
  <c r="F198" i="8"/>
  <c r="F197" i="8"/>
  <c r="F196" i="8"/>
  <c r="F192" i="8"/>
  <c r="F181" i="8"/>
  <c r="F180" i="8"/>
  <c r="F179" i="8"/>
  <c r="F178" i="8"/>
  <c r="F177" i="8"/>
  <c r="F26" i="8"/>
  <c r="F19"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1" i="8"/>
  <c r="F149" i="8"/>
  <c r="F148" i="8"/>
  <c r="F147" i="8"/>
  <c r="F146" i="8"/>
  <c r="F145" i="8"/>
  <c r="F144" i="8"/>
  <c r="F143" i="8"/>
  <c r="F142" i="8"/>
  <c r="F140" i="8"/>
  <c r="F139" i="8"/>
  <c r="F138" i="8"/>
  <c r="F137" i="8"/>
  <c r="F136" i="8"/>
  <c r="F135" i="8"/>
  <c r="F134" i="8"/>
  <c r="F133" i="8"/>
  <c r="F132" i="8"/>
  <c r="F131" i="8"/>
  <c r="F130" i="8"/>
  <c r="F129" i="8"/>
  <c r="F18" i="8"/>
  <c r="F17" i="8"/>
  <c r="F16" i="8"/>
  <c r="F108" i="8"/>
  <c r="F125" i="8"/>
  <c r="F124" i="8"/>
  <c r="F123" i="8"/>
  <c r="F122" i="8"/>
  <c r="F121" i="8"/>
  <c r="F120" i="8"/>
  <c r="F119" i="8"/>
  <c r="F118" i="8"/>
  <c r="F117" i="8"/>
  <c r="F116" i="8"/>
  <c r="F115" i="8"/>
  <c r="F114" i="8"/>
  <c r="F113" i="8"/>
  <c r="F112" i="8"/>
  <c r="F111" i="8"/>
  <c r="F107" i="8"/>
  <c r="F82" i="8"/>
  <c r="F81" i="8"/>
  <c r="F80" i="8"/>
  <c r="F106" i="8"/>
  <c r="F105" i="8"/>
  <c r="F104" i="8"/>
  <c r="F77" i="8"/>
  <c r="F76" i="8"/>
  <c r="F101" i="8"/>
  <c r="F100" i="8"/>
  <c r="F75" i="8"/>
  <c r="F98" i="8"/>
  <c r="F97" i="8"/>
  <c r="F96" i="8"/>
  <c r="F95" i="8"/>
  <c r="F94" i="8"/>
  <c r="F93" i="8"/>
  <c r="F92" i="8"/>
  <c r="F91" i="8"/>
  <c r="F90" i="8"/>
  <c r="F89" i="8"/>
  <c r="F88" i="8"/>
  <c r="F87" i="8"/>
  <c r="F86" i="8"/>
  <c r="F85" i="8"/>
  <c r="F84" i="8"/>
  <c r="F83" i="8"/>
  <c r="F74" i="8"/>
  <c r="F73" i="8"/>
  <c r="F176" i="8"/>
  <c r="F79" i="8"/>
  <c r="F175" i="8"/>
  <c r="F103" i="8"/>
  <c r="F102" i="8"/>
  <c r="F99" i="8"/>
  <c r="F221" i="8"/>
  <c r="F224" i="8"/>
  <c r="F72" i="8"/>
  <c r="F71" i="8"/>
  <c r="F70" i="8"/>
  <c r="F69" i="8"/>
  <c r="F68" i="8"/>
  <c r="F209" i="8"/>
  <c r="F67" i="8"/>
  <c r="F65" i="8"/>
  <c r="F64" i="8"/>
  <c r="F62" i="8"/>
  <c r="F63" i="8"/>
  <c r="F61" i="8"/>
  <c r="F60" i="8"/>
  <c r="F59" i="8"/>
  <c r="F58" i="8"/>
  <c r="F57" i="8"/>
  <c r="F56" i="8"/>
  <c r="F208" i="8"/>
  <c r="F128" i="8"/>
  <c r="F55" i="8"/>
  <c r="F54" i="8"/>
  <c r="F53" i="8"/>
  <c r="F50" i="8"/>
  <c r="F49" i="8"/>
  <c r="F48" i="8"/>
  <c r="F47" i="8"/>
  <c r="F46" i="8"/>
  <c r="F45" i="8"/>
  <c r="F127" i="8"/>
  <c r="F42" i="8"/>
  <c r="F41" i="8"/>
  <c r="F40" i="8"/>
  <c r="F39" i="8"/>
  <c r="F126" i="8"/>
  <c r="F110" i="8"/>
  <c r="F109" i="8"/>
  <c r="F35" i="8"/>
  <c r="F34" i="8"/>
  <c r="F33" i="8"/>
  <c r="F32" i="8"/>
  <c r="F31" i="8"/>
  <c r="F30" i="8"/>
  <c r="F29" i="8"/>
  <c r="F28" i="8"/>
  <c r="F15" i="8"/>
  <c r="F13" i="8"/>
  <c r="F25" i="8"/>
  <c r="F24" i="8"/>
  <c r="F23" i="8"/>
  <c r="F22" i="8"/>
  <c r="F21" i="8"/>
  <c r="F66" i="8"/>
  <c r="F38" i="8"/>
  <c r="F37" i="8"/>
  <c r="F36" i="8"/>
  <c r="F20" i="8"/>
  <c r="F14" i="8"/>
  <c r="F12" i="8"/>
  <c r="F8" i="8"/>
  <c r="F44" i="8"/>
  <c r="F11" i="8"/>
  <c r="F10" i="8"/>
  <c r="F9" i="8"/>
  <c r="F43" i="8"/>
  <c r="F7" i="8"/>
  <c r="F6" i="8"/>
  <c r="F5" i="8"/>
  <c r="F4" i="8"/>
  <c r="F3" i="8"/>
  <c r="A230" i="8"/>
  <c r="H16" i="8"/>
  <c r="Y16" i="8" s="1"/>
  <c r="Z16" i="8" s="1"/>
  <c r="AA16" i="8" s="1"/>
  <c r="H159" i="8"/>
  <c r="AE159" i="8" s="1"/>
  <c r="AF159" i="8" s="1"/>
  <c r="AG159" i="8" s="1"/>
  <c r="H136" i="8"/>
  <c r="Y136" i="8" s="1"/>
  <c r="Z136" i="8" s="1"/>
  <c r="AA136" i="8" s="1"/>
  <c r="H109" i="8"/>
  <c r="Y109" i="8" s="1"/>
  <c r="Z109" i="8" s="1"/>
  <c r="AA109" i="8" s="1"/>
  <c r="H69" i="8"/>
  <c r="AE69" i="8" s="1"/>
  <c r="AF69" i="8" s="1"/>
  <c r="AG69" i="8" s="1"/>
  <c r="AG3" i="8" l="1"/>
  <c r="O30" i="6" s="1"/>
  <c r="O29" i="6"/>
  <c r="AA3" i="8"/>
  <c r="N29" i="6"/>
  <c r="AG12" i="8"/>
  <c r="AE109" i="8"/>
  <c r="AF109" i="8" s="1"/>
  <c r="AG109" i="8" s="1"/>
  <c r="AE136" i="8"/>
  <c r="AF136" i="8" s="1"/>
  <c r="AG136" i="8" s="1"/>
  <c r="Y159" i="8"/>
  <c r="Z159" i="8" s="1"/>
  <c r="AA159" i="8" s="1"/>
  <c r="Y69" i="8"/>
  <c r="Z69" i="8" s="1"/>
  <c r="AA69" i="8" s="1"/>
  <c r="AE16" i="8"/>
  <c r="AF16" i="8" s="1"/>
  <c r="AG16" i="8" s="1"/>
  <c r="I29" i="6" l="1"/>
  <c r="I30" i="6"/>
  <c r="N30" i="6"/>
  <c r="C45" i="2"/>
  <c r="C61" i="2" s="1"/>
  <c r="C51" i="2"/>
  <c r="D51" i="2" s="1"/>
  <c r="C48" i="2"/>
  <c r="D62" i="2" l="1"/>
  <c r="E21" i="6"/>
  <c r="C62" i="2"/>
  <c r="Y226" i="8"/>
  <c r="Y229" i="8" s="1"/>
  <c r="Y230" i="8" s="1"/>
  <c r="Z230" i="8" s="1"/>
  <c r="AD225" i="9"/>
  <c r="AD228" i="9" s="1"/>
  <c r="AD229" i="9" s="1"/>
  <c r="AE229" i="9" s="1"/>
  <c r="C52" i="2"/>
  <c r="D52" i="2" s="1"/>
  <c r="E62" i="2"/>
  <c r="D61" i="2"/>
  <c r="AC230" i="9" l="1"/>
  <c r="E24" i="6"/>
  <c r="X231" i="8"/>
  <c r="C54" i="2"/>
  <c r="E23" i="6" s="1"/>
  <c r="C63" i="2"/>
  <c r="E22" i="6" s="1"/>
  <c r="C66" i="2" l="1"/>
  <c r="D66" i="2" s="1"/>
  <c r="D69" i="2" s="1"/>
  <c r="I23" i="6"/>
  <c r="C69" i="2" l="1"/>
  <c r="E26" i="6"/>
  <c r="AE230" i="9" l="1"/>
  <c r="C70" i="2"/>
  <c r="E29" i="6"/>
  <c r="E7" i="2" s="1"/>
  <c r="Z231" i="8"/>
  <c r="E30" i="6" l="1"/>
  <c r="C21" i="2" s="1"/>
  <c r="C20" i="2"/>
  <c r="K29" i="6"/>
  <c r="P29" i="6"/>
  <c r="Q29" i="6"/>
  <c r="I28" i="6"/>
  <c r="E8" i="2" l="1"/>
  <c r="Q30" i="6"/>
  <c r="K30" i="6"/>
  <c r="P30"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<sst xmlns="http://schemas.openxmlformats.org/spreadsheetml/2006/main" count="6539" uniqueCount="1021">
  <si>
    <t>Originator</t>
  </si>
  <si>
    <t>Structure</t>
  </si>
  <si>
    <t>Tangible Assets</t>
  </si>
  <si>
    <t>Tangibility Ratio</t>
  </si>
  <si>
    <t>Ijara + Murabaha</t>
  </si>
  <si>
    <t>Real estate assets</t>
  </si>
  <si>
    <t>Wakala</t>
  </si>
  <si>
    <t>Shares</t>
  </si>
  <si>
    <t>Ijara</t>
  </si>
  <si>
    <t>Zakat Rate</t>
  </si>
  <si>
    <t>Voltage power line distribution networks</t>
  </si>
  <si>
    <t>Mudaraba</t>
  </si>
  <si>
    <t>Mudaraba general pool</t>
  </si>
  <si>
    <t>Al Baraka Banking Group B.S.C.</t>
  </si>
  <si>
    <t>TVF İFM Gayrimenkul İnşaat ve Yönetim A.Ş.</t>
  </si>
  <si>
    <t>Real estate and non-real estate Ijara assets and contracts</t>
  </si>
  <si>
    <t>Islamic Republic of Pakistan</t>
  </si>
  <si>
    <t>Highways</t>
  </si>
  <si>
    <t>Power generation assets</t>
  </si>
  <si>
    <t>USD</t>
  </si>
  <si>
    <t>Zakatable Amount</t>
  </si>
  <si>
    <t>Nontangibility Ratio</t>
  </si>
  <si>
    <t>Investment Amount</t>
  </si>
  <si>
    <t>Zakatable Amount Ratio</t>
  </si>
  <si>
    <t>Total Zakat amount (USD)</t>
  </si>
  <si>
    <t>Total Zakat amount (AED)</t>
  </si>
  <si>
    <t>Investment Days</t>
  </si>
  <si>
    <t>ISIN</t>
  </si>
  <si>
    <t>ADIBUH 5.695 15/11/2028</t>
  </si>
  <si>
    <t>XS2713768807</t>
  </si>
  <si>
    <t>ADIBUH 7.25 PERP</t>
  </si>
  <si>
    <t>XS2642454271</t>
  </si>
  <si>
    <t>ADNOC</t>
  </si>
  <si>
    <t>ADNOC 4.75 05/06/35</t>
  </si>
  <si>
    <t>XS3044357047</t>
  </si>
  <si>
    <t>AerCap</t>
  </si>
  <si>
    <t>AERCAP 4 ½ 10/03/29 REGS</t>
  </si>
  <si>
    <t>XS2745126958</t>
  </si>
  <si>
    <t>Aircraft Assets</t>
  </si>
  <si>
    <t>Ahli United Bank</t>
  </si>
  <si>
    <t>AHLI UNITED SK 3.875 PERP</t>
  </si>
  <si>
    <t>XS2342243875</t>
  </si>
  <si>
    <t>Ajman Bank PJSC</t>
  </si>
  <si>
    <t>AJMNSS 5.125 04/30/30</t>
  </si>
  <si>
    <t>XS3048482783</t>
  </si>
  <si>
    <t>Real estate and non-real estate Ijara assets and Sukuk</t>
  </si>
  <si>
    <t>Bank Albilad</t>
  </si>
  <si>
    <t>ALBIAB 6.5 PERP</t>
  </si>
  <si>
    <t>XS3071347994</t>
  </si>
  <si>
    <t>Air Lease Corporation</t>
  </si>
  <si>
    <t>ALC SUK 5.85 01/04/28</t>
  </si>
  <si>
    <t>XS2567397711</t>
  </si>
  <si>
    <t>ALDAR 4 ⅞ 05/24/33</t>
  </si>
  <si>
    <t>XS2627338580</t>
  </si>
  <si>
    <t>Wakala + Murabaha</t>
  </si>
  <si>
    <t>Real Estate Assets</t>
  </si>
  <si>
    <t>ALDAR 5.25 25/03/2035</t>
  </si>
  <si>
    <t>XS2854315814</t>
  </si>
  <si>
    <t>ALDAR 5.5 16/05/34</t>
  </si>
  <si>
    <t>XS2816816305</t>
  </si>
  <si>
    <t>ALDAR SUKUK -3.875-10/29</t>
  </si>
  <si>
    <t>XS2068063465</t>
  </si>
  <si>
    <t>ALINMA 4.937 15/07/30</t>
  </si>
  <si>
    <t>XS3114010922</t>
  </si>
  <si>
    <t>Financing Assets and/or the Tangible Part of any Tradable Sukuk</t>
  </si>
  <si>
    <t>ALINMA 6.25 PERP CORP</t>
  </si>
  <si>
    <t>XS3168164286</t>
  </si>
  <si>
    <t>ALINMA 6.5 06/03/2029</t>
  </si>
  <si>
    <t>XS2753907554</t>
  </si>
  <si>
    <t>ALINMA 6.5 PERP</t>
  </si>
  <si>
    <t>XS3079963834</t>
  </si>
  <si>
    <t>ALMARA 4.45 09/24/30 EMTN</t>
  </si>
  <si>
    <t>XS3182054422</t>
  </si>
  <si>
    <t>ALMARA 5.233-07/33</t>
  </si>
  <si>
    <t>XS2641777235</t>
  </si>
  <si>
    <t>ARACEN 8.875 04/12/30</t>
  </si>
  <si>
    <t>XS3240866411</t>
  </si>
  <si>
    <t>ARACEN 9.5 06/03/2029</t>
  </si>
  <si>
    <t>XS2756519232</t>
  </si>
  <si>
    <t>ARADAD 7.15 05/08/2030</t>
  </si>
  <si>
    <t>XS3119606955</t>
  </si>
  <si>
    <t>ARADAD 8 24/06/2029</t>
  </si>
  <si>
    <t>XS2841181972</t>
  </si>
  <si>
    <t>ARADAD 8.125  08JUN27</t>
  </si>
  <si>
    <t>XS2471859251</t>
  </si>
  <si>
    <t>ARAMCO 1.602 17-JUN-26</t>
  </si>
  <si>
    <t>XS2352861814</t>
  </si>
  <si>
    <t>Fixed plant, machinery and infrastructure etc.</t>
  </si>
  <si>
    <t>ARAMCO 2.694 17-JUN-31</t>
  </si>
  <si>
    <t>XS2352862119</t>
  </si>
  <si>
    <t>ARAMCO 4 ⅛ 09/17/30 REGS</t>
  </si>
  <si>
    <t>XS3182415979</t>
  </si>
  <si>
    <t>ARAMCO 4.25 02/10/2029</t>
  </si>
  <si>
    <t>XS2908722783</t>
  </si>
  <si>
    <t>ARAMCO 4.625 17-09-35</t>
  </si>
  <si>
    <t>XS3182417249</t>
  </si>
  <si>
    <t>ARAMCO 4.75 02/10/2034</t>
  </si>
  <si>
    <t>XS2908723328</t>
  </si>
  <si>
    <t>Ahli United Bank B.S.C</t>
  </si>
  <si>
    <t>AUBBI 2.615 09/09/26 emtn</t>
  </si>
  <si>
    <t>XS2384698051</t>
  </si>
  <si>
    <t>Axiata Group Berhad</t>
  </si>
  <si>
    <t>AXIATA 4.357 03/24/26 EMTN</t>
  </si>
  <si>
    <t>XS1382802095</t>
  </si>
  <si>
    <t>Airtime Vouchers, Shares, and real estate assets</t>
  </si>
  <si>
    <t>BARKAB 8.775 31MAY26</t>
  </si>
  <si>
    <t>XS1609448979</t>
  </si>
  <si>
    <t>Bapco Energies B.S.C.</t>
  </si>
  <si>
    <t>BEXBAH 6.25 29/01/2035</t>
  </si>
  <si>
    <t>XS2976035316</t>
  </si>
  <si>
    <t>Real estate assets or tangible non real estate assets</t>
  </si>
  <si>
    <t>BHRAIN 3.875 18-MAY-2029</t>
  </si>
  <si>
    <t>XS2408002769</t>
  </si>
  <si>
    <t>BHRAIN 3.95   16/09/27</t>
  </si>
  <si>
    <t>XS2226917701</t>
  </si>
  <si>
    <t>BHRAIN 4.5 - 03/27</t>
  </si>
  <si>
    <t>XS2058943734</t>
  </si>
  <si>
    <t>BHRAIN 5.875 05/06/2032</t>
  </si>
  <si>
    <t>XS2951616478</t>
  </si>
  <si>
    <t>BHRAIN 6 12/02/2031</t>
  </si>
  <si>
    <t>XS2764425117</t>
  </si>
  <si>
    <t>BHRAIN 6.25 07/07/33</t>
  </si>
  <si>
    <t>XS3068594129</t>
  </si>
  <si>
    <t>BHRAIN6.25 18/10/2030</t>
  </si>
  <si>
    <t>XS2611617619</t>
  </si>
  <si>
    <t>BHRN 5.875-06/02/34</t>
  </si>
  <si>
    <t>XS3197741732</t>
  </si>
  <si>
    <t>BINHLD 7.75 01/07/29</t>
  </si>
  <si>
    <t>XS3187728277</t>
  </si>
  <si>
    <t>BINHLD 8.125 07/08/2030</t>
  </si>
  <si>
    <t>XS3145700491</t>
  </si>
  <si>
    <t>BINHLD 9.625 28/02/2027</t>
  </si>
  <si>
    <t>XS2753304349</t>
  </si>
  <si>
    <t>BOUSKK 3.95 PERP Corp</t>
  </si>
  <si>
    <t>XS2306403788</t>
  </si>
  <si>
    <t>BOUSUK 3.389 03/29/27 EMTN</t>
  </si>
  <si>
    <t>XS2441071680</t>
  </si>
  <si>
    <t>Financing Asset or an Other Tangible Asset</t>
  </si>
  <si>
    <t>BOUSUK 4.973 06/04/30 EMTN</t>
  </si>
  <si>
    <t>XS3078653279</t>
  </si>
  <si>
    <t>BSFR 4.75 31/05/2028</t>
  </si>
  <si>
    <t>XS2623560781</t>
  </si>
  <si>
    <t>BSFR 5 25/01/2029</t>
  </si>
  <si>
    <t>XS2741362862</t>
  </si>
  <si>
    <t>BSFR 5.375 21/01/2030</t>
  </si>
  <si>
    <t>XS2978771942</t>
  </si>
  <si>
    <t>DAMACR 7 26/08/2028</t>
  </si>
  <si>
    <t>XS3006253044</t>
  </si>
  <si>
    <t>DAMACR 7.75 27/04/2026</t>
  </si>
  <si>
    <t>XS2615583510</t>
  </si>
  <si>
    <t>DAMACR 8.375 12/04/27</t>
  </si>
  <si>
    <t>XS2701661303</t>
  </si>
  <si>
    <t>DARALA 7.25 02/07/2030</t>
  </si>
  <si>
    <t>XS3101460304</t>
  </si>
  <si>
    <t>DARALA 7.75 26 CORP</t>
  </si>
  <si>
    <t>XS2491049651</t>
  </si>
  <si>
    <t>DARALA 8- 02/29</t>
  </si>
  <si>
    <t>XS2648078322</t>
  </si>
  <si>
    <t>DIB SUK LTD 4.8 - 08/2028</t>
  </si>
  <si>
    <t>XS2579950200</t>
  </si>
  <si>
    <t>DIBUH 1.959 06/22/26 EMTN</t>
  </si>
  <si>
    <t>XS2307478227</t>
  </si>
  <si>
    <t>DIBUH 2.74 02/16/27</t>
  </si>
  <si>
    <t>XS2436922616</t>
  </si>
  <si>
    <t>DIBUH 3.375 PERP Corp</t>
  </si>
  <si>
    <t>XS2330535381</t>
  </si>
  <si>
    <t>DIBUH 4.572 19/11/30</t>
  </si>
  <si>
    <t>XS3002400540</t>
  </si>
  <si>
    <t>DIBUH 4.625 PERP Corp</t>
  </si>
  <si>
    <t>XS2258453443</t>
  </si>
  <si>
    <t>DIBUH 5.243 04/03/2029</t>
  </si>
  <si>
    <t>XS2749764382</t>
  </si>
  <si>
    <t>DIBUH 5.25 PERP CORP</t>
  </si>
  <si>
    <t>XS2913984568</t>
  </si>
  <si>
    <t>DIBUH 5.493 30/11/2027</t>
  </si>
  <si>
    <t>XS2553243655</t>
  </si>
  <si>
    <t>DPWDU 3.7495-30/01/30</t>
  </si>
  <si>
    <t>XS2056707420</t>
  </si>
  <si>
    <t>Allotted Throughput Services</t>
  </si>
  <si>
    <t>DPWDU 3.875-07/29</t>
  </si>
  <si>
    <t>XS2026710553</t>
  </si>
  <si>
    <t>DPWDU 4.848-09/28</t>
  </si>
  <si>
    <t>XS1883963990</t>
  </si>
  <si>
    <t>DPWDU 5.50 13/09/2033</t>
  </si>
  <si>
    <t>XS2677631355</t>
  </si>
  <si>
    <t>DPWORLD 5.5 08/05/35</t>
  </si>
  <si>
    <t>XS3066663124</t>
  </si>
  <si>
    <t>Dubai Aerospace Enterprise (DAE) Ltd</t>
  </si>
  <si>
    <t>DUBAEE 4 ½ 10/16/30 REGS</t>
  </si>
  <si>
    <t>XS3201109637</t>
  </si>
  <si>
    <t>DUBAI DOF SUKUK-5-04/29</t>
  </si>
  <si>
    <t>XS1062038143</t>
  </si>
  <si>
    <t>DUGB - 2.763-09/09/30</t>
  </si>
  <si>
    <t>XS2227049108</t>
  </si>
  <si>
    <t>DUKHAN 3.95 PERP Corp</t>
  </si>
  <si>
    <t>XS2348422424</t>
  </si>
  <si>
    <t>DUKHAN 4.56 09/10/2029</t>
  </si>
  <si>
    <t>XS2890149185</t>
  </si>
  <si>
    <t>EDO Gas SPC</t>
  </si>
  <si>
    <t>EDOSK5.875 21/09/2033</t>
  </si>
  <si>
    <t>XS2689095086</t>
  </si>
  <si>
    <t>Equipment, machinery, temporary structures, plant and other tangible assets</t>
  </si>
  <si>
    <t>EGYSK 10.875 - 28/02/26</t>
  </si>
  <si>
    <t>XS2530049837</t>
  </si>
  <si>
    <t>EGYSK 6.375 07/04/29</t>
  </si>
  <si>
    <t>XS3195897320</t>
  </si>
  <si>
    <t>EGYSK 7 ⅞ 06/25/28 3YR</t>
  </si>
  <si>
    <t>XS3096159648</t>
  </si>
  <si>
    <t>EGYSK 7.95 07/10/32</t>
  </si>
  <si>
    <t>XS3195933067</t>
  </si>
  <si>
    <t>EIB 5.431 28/05/2029</t>
  </si>
  <si>
    <t>XS2824746544</t>
  </si>
  <si>
    <t>EIBUH 2.082 11/02/26 EMTN</t>
  </si>
  <si>
    <t>XS2392596180</t>
  </si>
  <si>
    <t>EIBUH 4.54 23/03/31</t>
  </si>
  <si>
    <t>XS3185295071</t>
  </si>
  <si>
    <t>EIBUH 5.059 25/03/30</t>
  </si>
  <si>
    <t>XS3030374030</t>
  </si>
  <si>
    <t>EIBUH SUKUK 5.05 02/26</t>
  </si>
  <si>
    <t>XS2584537190</t>
  </si>
  <si>
    <t>EMAAR 3 ⅞ 09/17/29 EMTN</t>
  </si>
  <si>
    <t>XS2052469165</t>
  </si>
  <si>
    <t>EMAAR 3.70 - 6-JUL-31</t>
  </si>
  <si>
    <t>XS2356219084</t>
  </si>
  <si>
    <t>EMAAR SUKUK 3.635 - 09/26</t>
  </si>
  <si>
    <t>XS1488480333</t>
  </si>
  <si>
    <t>Emirates</t>
  </si>
  <si>
    <t>EMIRAT 4 ½ 03/22/28</t>
  </si>
  <si>
    <t>XS1776214980</t>
  </si>
  <si>
    <t>Rights to Travel</t>
  </si>
  <si>
    <t>EQUATE Petrochemical Company K.S.C.C.</t>
  </si>
  <si>
    <t>EQPCKW 5 05/09/2031</t>
  </si>
  <si>
    <t>XS2829198857</t>
  </si>
  <si>
    <t>Fixed plant and machinery and infrastructure</t>
  </si>
  <si>
    <t>Emirates Strategic Investments Company Sole - Proprietorship L.L.C.</t>
  </si>
  <si>
    <t>ESICSU 5.831 14/02/2029</t>
  </si>
  <si>
    <t>XS2747181613</t>
  </si>
  <si>
    <t>FABUH 4.581 17/01/2028</t>
  </si>
  <si>
    <t>XS2576361195</t>
  </si>
  <si>
    <t>FABUH 4.779 23/01/2029</t>
  </si>
  <si>
    <t>XS2747271018</t>
  </si>
  <si>
    <t>FABUH 5.153 16/01/2030</t>
  </si>
  <si>
    <t>XS2976350004</t>
  </si>
  <si>
    <t>GFHSUK 7.5 06/11/2029</t>
  </si>
  <si>
    <t>XS2928674253</t>
  </si>
  <si>
    <t>Hong Kong SAR Government</t>
  </si>
  <si>
    <t>HKINTL 3.132 02/28/27</t>
  </si>
  <si>
    <t>XS1555404786</t>
  </si>
  <si>
    <t>Land, buildings, leasehold interests and/or building rights</t>
  </si>
  <si>
    <t>Investment Corporation of Dubai</t>
  </si>
  <si>
    <t>ICD SUKUK 5 - 02/2027</t>
  </si>
  <si>
    <t>XS1558166861</t>
  </si>
  <si>
    <t>Tangible assets</t>
  </si>
  <si>
    <t>INDIOS 3.55 - 09-JUN-51</t>
  </si>
  <si>
    <t>US71567RAT32</t>
  </si>
  <si>
    <t>Ijara or Ijara + Istisna</t>
  </si>
  <si>
    <t>Properties/Project assets</t>
  </si>
  <si>
    <t>INDOIS 1 ½ 06/09/26 REGS</t>
  </si>
  <si>
    <t>US71567RAR75</t>
  </si>
  <si>
    <t>INDOIS 2.55 06/09/31 REGS</t>
  </si>
  <si>
    <t>US71567RAS58</t>
  </si>
  <si>
    <t>INDOIS 2.8 SUK-23/06/30</t>
  </si>
  <si>
    <t>US71567RAP10</t>
  </si>
  <si>
    <t>INDOIS 3.8 SUK-23/06/50</t>
  </si>
  <si>
    <t>US71567RAQ92</t>
  </si>
  <si>
    <t>INDOIS 4 ½ 12/01/30 REGS</t>
  </si>
  <si>
    <t>US71567RBG02</t>
  </si>
  <si>
    <t>INDOIS 4.4 03/01/28 REGS</t>
  </si>
  <si>
    <t>US71567RAK23</t>
  </si>
  <si>
    <t>INDOIS 4.4 06/06/27 REGS</t>
  </si>
  <si>
    <t>US71567RAU05</t>
  </si>
  <si>
    <t>INDOIS 4.45 SUK-20/02/29</t>
  </si>
  <si>
    <t>US71567RAM88</t>
  </si>
  <si>
    <t>INDOIS 4.55 03/29/26 REGS</t>
  </si>
  <si>
    <t>US71567RAF38</t>
  </si>
  <si>
    <t>INDOIS 4.7 SUKUK-06/06/32</t>
  </si>
  <si>
    <t>US71567RAV87</t>
  </si>
  <si>
    <t>INDOIS 5  01/12/35</t>
  </si>
  <si>
    <t>US71567RBH84</t>
  </si>
  <si>
    <t>INDOIS 5 25/05/2030</t>
  </si>
  <si>
    <t>USY68613AD30</t>
  </si>
  <si>
    <t>INDOIS 5.1 02/07/2029</t>
  </si>
  <si>
    <t>USY68613AA90</t>
  </si>
  <si>
    <t>INDOIS 5.2 02/07/2034</t>
  </si>
  <si>
    <t>USY68613AB73</t>
  </si>
  <si>
    <t>INDOIS 5.2 07/23/35 REGS</t>
  </si>
  <si>
    <t>US71567RBE53</t>
  </si>
  <si>
    <t>INDOIS 5.25 25/11/34</t>
  </si>
  <si>
    <t>USY68613AE13</t>
  </si>
  <si>
    <t>INDOIS 5.4 11/15/28 REGS</t>
  </si>
  <si>
    <t>US71567RAX44</t>
  </si>
  <si>
    <t>INDOIS 5.5 02/07/2054</t>
  </si>
  <si>
    <t>USY68613AC56</t>
  </si>
  <si>
    <t>INDOIS 5.6 15/11/2033</t>
  </si>
  <si>
    <t>US71567RAY27</t>
  </si>
  <si>
    <t>INDOIS 5.65 25/11/2054</t>
  </si>
  <si>
    <t>USY68613AF87</t>
  </si>
  <si>
    <t>INDOIS-4.15 03/27</t>
  </si>
  <si>
    <t>US71567RAH93</t>
  </si>
  <si>
    <t>ISCODV 4.391 10/09/30 EMTN</t>
  </si>
  <si>
    <t>XS3192974643</t>
  </si>
  <si>
    <t>Financing Ijara properties, Sukuk, Wakala facilities</t>
  </si>
  <si>
    <t>ISCODV 4.95 14/02/2029</t>
  </si>
  <si>
    <t>XS2760670013</t>
  </si>
  <si>
    <t>Ittihad International Investment LLC.</t>
  </si>
  <si>
    <t>ITTHAD 7.375 13/11/30</t>
  </si>
  <si>
    <t>XS3225872525</t>
  </si>
  <si>
    <t>Equipment, machinery, temporary structures, plant and others</t>
  </si>
  <si>
    <t>JAZCOR 3.95 PERP CORP</t>
  </si>
  <si>
    <t>XS2358740590</t>
  </si>
  <si>
    <t>JAZCOR 6.5 PERP CORP</t>
  </si>
  <si>
    <t>XS3184155441</t>
  </si>
  <si>
    <t>KFH TIER1-3.6 - 30-JUN-26</t>
  </si>
  <si>
    <t>XS2338912665</t>
  </si>
  <si>
    <t>KFHKK 5.376 14/01/2030</t>
  </si>
  <si>
    <t>XS2974156627</t>
  </si>
  <si>
    <t>KFHKK 6.25 PERP</t>
  </si>
  <si>
    <t>XS3201991232</t>
  </si>
  <si>
    <t>Financing Ijara asset, musharaka, mudaraba and wakala financings, tradable Sukuk</t>
  </si>
  <si>
    <t>Kuveyt Türk Katılım Bankası</t>
  </si>
  <si>
    <t>KFIN 5.011 17/01/2029</t>
  </si>
  <si>
    <t>XS2744854261</t>
  </si>
  <si>
    <t>KFINKK-6.125-16-Dec-31-KT</t>
  </si>
  <si>
    <t>XS2384355520</t>
  </si>
  <si>
    <t>KIBKK 6.625 01/05/2029</t>
  </si>
  <si>
    <t>XS2768805868</t>
  </si>
  <si>
    <t>KSA SK 4.25 09/09/30</t>
  </si>
  <si>
    <t>XS3174822562</t>
  </si>
  <si>
    <t>KSA SK 4.875 09/09/35</t>
  </si>
  <si>
    <t>XS3174822646</t>
  </si>
  <si>
    <t>MAADEN 5.25 13/02/2030</t>
  </si>
  <si>
    <t>XS2998746213</t>
  </si>
  <si>
    <t>Equipment, machinery, plant and others</t>
  </si>
  <si>
    <t>MAADEN 5.5 13/02/2035</t>
  </si>
  <si>
    <t>XS2998746486</t>
  </si>
  <si>
    <t>Masraf Al Rayan (Q.P.S.C.)</t>
  </si>
  <si>
    <t>MAALIS 5.03 220430</t>
  </si>
  <si>
    <t>XS3055735073</t>
  </si>
  <si>
    <t>Financing Ijara asset and tradable Sukuk</t>
  </si>
  <si>
    <t>MAALRA 4 ⅞ 05/29/30 EMTN</t>
  </si>
  <si>
    <t>XS3076272130</t>
  </si>
  <si>
    <t>MAF 3.9325 28/02/30</t>
  </si>
  <si>
    <t>XS2069310865</t>
  </si>
  <si>
    <t>Real Estate Asset and Other Sharia Compliant Tangible Asset,</t>
  </si>
  <si>
    <t>MAFUAE 4.638 05/14/29</t>
  </si>
  <si>
    <t>XS1991188548</t>
  </si>
  <si>
    <t>MAFUAE 4.875 22/10/35</t>
  </si>
  <si>
    <t>XS3213255998</t>
  </si>
  <si>
    <t>MAFUAE 5 01/06/2033</t>
  </si>
  <si>
    <t>XS2626291129</t>
  </si>
  <si>
    <t>MALAYS 2.07 04/28/31 REGS</t>
  </si>
  <si>
    <t>USY57542AA32</t>
  </si>
  <si>
    <t>Vouchers</t>
  </si>
  <si>
    <t>MALAYS 3.075-28/04/51</t>
  </si>
  <si>
    <t>USY57542AB15</t>
  </si>
  <si>
    <t>MAZOON 5.2 11/27</t>
  </si>
  <si>
    <t>XS1577945824</t>
  </si>
  <si>
    <t>Electricity-related tangible assets</t>
  </si>
  <si>
    <t>MAZOON 5.25 09/10/2031</t>
  </si>
  <si>
    <t>XS2907977131</t>
  </si>
  <si>
    <t>Real estate asset, electrical distribution works, wires and cables and substation assets</t>
  </si>
  <si>
    <t>MAZOON 5.5 14/02/2029</t>
  </si>
  <si>
    <t>XS2764876475</t>
  </si>
  <si>
    <t>MUBAUH 4.6 05/11/2029</t>
  </si>
  <si>
    <t>XS2922706820</t>
  </si>
  <si>
    <t>MUBAUH 4.959 04/04/2034</t>
  </si>
  <si>
    <t>XS2797416760</t>
  </si>
  <si>
    <t>MUBAUH 5  04/06/2035</t>
  </si>
  <si>
    <t>XS3086825281</t>
  </si>
  <si>
    <t>Bahrain Mumtalakat Holding Company B.S.C.</t>
  </si>
  <si>
    <t>MUMTAK SUK-4.1-01/21/27</t>
  </si>
  <si>
    <t>XS2103157991</t>
  </si>
  <si>
    <t>Real Estate Asset, Shares, and Sukuk</t>
  </si>
  <si>
    <t>OILGAS 5.25-08-APR-2029</t>
  </si>
  <si>
    <t>XS2328888149</t>
  </si>
  <si>
    <t>Real estate or tangible non real estate related assets</t>
  </si>
  <si>
    <t>OILGAS 6.625 25/05/2033</t>
  </si>
  <si>
    <t>XS2627125672</t>
  </si>
  <si>
    <t>OMANGS 4.525 17/04/33</t>
  </si>
  <si>
    <t>XS3204036696</t>
  </si>
  <si>
    <t>Land, fixed plant and machinery, or infrastructure</t>
  </si>
  <si>
    <t>OMANGSK4.875-15-06-30</t>
  </si>
  <si>
    <t>XS2351310482</t>
  </si>
  <si>
    <t>OMNIYAT 7.25 16/03/29</t>
  </si>
  <si>
    <t>XS3171756714</t>
  </si>
  <si>
    <t>OMNIYAT 8.375 06/05/28</t>
  </si>
  <si>
    <t>XS3065329446</t>
  </si>
  <si>
    <t>Oman Telecommunications Company S.A.O.G. (Oztel Holdings Ltd.)</t>
  </si>
  <si>
    <t>OTELSU 5.375 24/01/2031</t>
  </si>
  <si>
    <t>XS2695410832</t>
  </si>
  <si>
    <t>Broadband Data Services</t>
  </si>
  <si>
    <t>Republic of the Philippines</t>
  </si>
  <si>
    <t>PHILIP 5.045 06/06/29</t>
  </si>
  <si>
    <t>USY7329CAA37</t>
  </si>
  <si>
    <t>PIFKSA 4.375 10/09/2027</t>
  </si>
  <si>
    <t>XS2898168799</t>
  </si>
  <si>
    <t>PIFKSA 4.875 08/05/2032</t>
  </si>
  <si>
    <t>XS3049815122</t>
  </si>
  <si>
    <t>PIFKSA 6 25/10/2028</t>
  </si>
  <si>
    <t>XS2706163131</t>
  </si>
  <si>
    <t>PIFKSA5.171 5/3/2031</t>
  </si>
  <si>
    <t>XS2777443768</t>
  </si>
  <si>
    <t>PIFKSA6.25 25/10/2033</t>
  </si>
  <si>
    <t>XS2706163305</t>
  </si>
  <si>
    <t>PKSTAN 7.95 31/01/29</t>
  </si>
  <si>
    <t>XS2419405274</t>
  </si>
  <si>
    <t>The State of Qatar</t>
  </si>
  <si>
    <t>QATAR 4.25 10/11/35</t>
  </si>
  <si>
    <t>XS3225200420</t>
  </si>
  <si>
    <t>QIBKQ5.581 22/11/2028</t>
  </si>
  <si>
    <t>XS2723536970</t>
  </si>
  <si>
    <t>QIBKQD 4.485 17/09/2029</t>
  </si>
  <si>
    <t>XS2900444139</t>
  </si>
  <si>
    <t>QIIKQD 4.5 13/11/30</t>
  </si>
  <si>
    <t>XS3212439916</t>
  </si>
  <si>
    <t>QIIKQD 5.247 24/01/2029</t>
  </si>
  <si>
    <t>XS2747076664</t>
  </si>
  <si>
    <t>QIIKQD 5.45 02/10/2029</t>
  </si>
  <si>
    <t>XS2887872989</t>
  </si>
  <si>
    <t>The Government of the Emirate of Ras Al Khaimah</t>
  </si>
  <si>
    <t>RAKS 5 12/03/2035</t>
  </si>
  <si>
    <t>XS3016636683</t>
  </si>
  <si>
    <t>RJHIAB 4.865 19-05-2030</t>
  </si>
  <si>
    <t>XS3038530229</t>
  </si>
  <si>
    <t>RJHIAB 5.047 12-03-2029</t>
  </si>
  <si>
    <t>XS2761205900</t>
  </si>
  <si>
    <t>RJHIAB 6.25 21/07/2030</t>
  </si>
  <si>
    <t>XS2975300208</t>
  </si>
  <si>
    <t>RJHIAB 6.375 16/05/2029</t>
  </si>
  <si>
    <t>XS2819196879</t>
  </si>
  <si>
    <t>Saudi Elec 5.5-04/44</t>
  </si>
  <si>
    <t>XS1054250318</t>
  </si>
  <si>
    <t>Saudi Elect-4.723-09/28</t>
  </si>
  <si>
    <t>XS1877838877</t>
  </si>
  <si>
    <t>Electricity distribution assets comprising medium and low voltage power line networks</t>
  </si>
  <si>
    <t>SaudiElect 5.06-04/43</t>
  </si>
  <si>
    <t>XS0911024635</t>
  </si>
  <si>
    <t>SECO 2.413    17/09/30</t>
  </si>
  <si>
    <t>XS2203996306</t>
  </si>
  <si>
    <t>SECO 4.632 - 11/04/2033</t>
  </si>
  <si>
    <t>XS2608256827</t>
  </si>
  <si>
    <t>SECO 4.942 13/02/2029</t>
  </si>
  <si>
    <t>XS2763630774</t>
  </si>
  <si>
    <t>SECO 5.194 13/02/2034</t>
  </si>
  <si>
    <t>XS2763630857</t>
  </si>
  <si>
    <t>SECO 5.225 18/02/2030</t>
  </si>
  <si>
    <t>XS2993845945</t>
  </si>
  <si>
    <t>SECO 5.489 18/02/2035</t>
  </si>
  <si>
    <t>XS2993847131</t>
  </si>
  <si>
    <t>SECO-5.684 11/04/53</t>
  </si>
  <si>
    <t>XS2608638602</t>
  </si>
  <si>
    <t>SHARSK 2.942 06/10/27</t>
  </si>
  <si>
    <t>XS2182820329</t>
  </si>
  <si>
    <t>SHARSK 3.886 04APR2030</t>
  </si>
  <si>
    <t>XS2457678469</t>
  </si>
  <si>
    <t>SHARSK 5  16/06/2033</t>
  </si>
  <si>
    <t>XS3250835579</t>
  </si>
  <si>
    <t>SHARSK 5.192 25/5/36</t>
  </si>
  <si>
    <t>XS3233459968</t>
  </si>
  <si>
    <t>SHARSK 5.433 17/04/2035</t>
  </si>
  <si>
    <t>XS2914525154</t>
  </si>
  <si>
    <t>SHARSK 5.5 10/07/2029</t>
  </si>
  <si>
    <t>XS2853537343</t>
  </si>
  <si>
    <t>SHARSK 6.092 19/03/34</t>
  </si>
  <si>
    <t>XS2680379695</t>
  </si>
  <si>
    <t>SHARSK3.2 13JUL2031</t>
  </si>
  <si>
    <t>XS2358712896</t>
  </si>
  <si>
    <t>SHRJAH 4.226 - 03/14/28</t>
  </si>
  <si>
    <t>XS1791326991</t>
  </si>
  <si>
    <t>SIB 5.2 26/02/2030</t>
  </si>
  <si>
    <t>XS3005539153</t>
  </si>
  <si>
    <t>SIB 6.125  PERP</t>
  </si>
  <si>
    <t>XS3039166791</t>
  </si>
  <si>
    <t>SIBSK 5.25 03/07/2029</t>
  </si>
  <si>
    <t>XS2801337283</t>
  </si>
  <si>
    <t>SNBAB 2.342 01/19/27</t>
  </si>
  <si>
    <t>XS2412586450</t>
  </si>
  <si>
    <t>SNBAB 5.129 27/02/2029</t>
  </si>
  <si>
    <t>XS2747631914</t>
  </si>
  <si>
    <t>SOBHA 7.125 11/09/30</t>
  </si>
  <si>
    <t>XS3168203019</t>
  </si>
  <si>
    <t>SOBHA 7.9955 19/02/29</t>
  </si>
  <si>
    <t>XS3073626601</t>
  </si>
  <si>
    <t>SOBREA 8.75 17-JUL-28</t>
  </si>
  <si>
    <t>XS2633136234</t>
  </si>
  <si>
    <t>TABRED 5.279 05/03/2030</t>
  </si>
  <si>
    <t>XS3013061489</t>
  </si>
  <si>
    <t>Distribution network or plant equipment</t>
  </si>
  <si>
    <t>Ziraat Katılım Bankası A.Ş.</t>
  </si>
  <si>
    <t>TCZIRA 9.375 12/11/2026</t>
  </si>
  <si>
    <t>XS2699906512</t>
  </si>
  <si>
    <t>Tenaga Nasional Berhad</t>
  </si>
  <si>
    <t>TNBMK 3.244 10/19/26 EMTN</t>
  </si>
  <si>
    <t>XS1505674918</t>
  </si>
  <si>
    <t>Shares and property assets</t>
  </si>
  <si>
    <t>TURK SK 6.75  01-09-30</t>
  </si>
  <si>
    <t>XS3072231809</t>
  </si>
  <si>
    <t>TURKSK 5.125 22-JUNE-26</t>
  </si>
  <si>
    <t>XS2351109116</t>
  </si>
  <si>
    <t>TURKSK 6.5 26/04/2030</t>
  </si>
  <si>
    <t>XS2900389870</t>
  </si>
  <si>
    <t>TURKSK 7.25    24/02/2027</t>
  </si>
  <si>
    <t>XS2441287773</t>
  </si>
  <si>
    <t>TURKSK 8.5091 14/01/29</t>
  </si>
  <si>
    <t>XS2689091846</t>
  </si>
  <si>
    <t>Türk Telekomünikasyon A.Ş.</t>
  </si>
  <si>
    <t>TURKTI 6.5 30/10/30</t>
  </si>
  <si>
    <t>XS3190446636</t>
  </si>
  <si>
    <t>Allotted Broadband Services</t>
  </si>
  <si>
    <t>TURKWF 6.95 23/01/2030</t>
  </si>
  <si>
    <t>XS2911679004</t>
  </si>
  <si>
    <t>UAESUK 3.49 30/10/27</t>
  </si>
  <si>
    <t>AED01778C259</t>
  </si>
  <si>
    <t>Roads, highways, bridges, and dams</t>
  </si>
  <si>
    <t>UAESUK 3.65 26/09/2029</t>
  </si>
  <si>
    <t>AED01458C241</t>
  </si>
  <si>
    <t>UAESUK 3.7 11/05/26</t>
  </si>
  <si>
    <t>AED01270C232</t>
  </si>
  <si>
    <t>UAESUK 4.06 22/05/30</t>
  </si>
  <si>
    <t>AED01656C257</t>
  </si>
  <si>
    <t>UAESUK 4.12 11/01/2029</t>
  </si>
  <si>
    <t>AED01364C241</t>
  </si>
  <si>
    <t>UAESUK 4.48 24/08/2028</t>
  </si>
  <si>
    <t>AED01283C235</t>
  </si>
  <si>
    <t>UAESUK 4.57 23/05/2027</t>
  </si>
  <si>
    <t>AED01390C246</t>
  </si>
  <si>
    <t>Vakıif Katılım Bankası A.Ş.</t>
  </si>
  <si>
    <t>VAKIFK 8.375 PERP CORP</t>
  </si>
  <si>
    <t>XS3190527120</t>
  </si>
  <si>
    <t>WARBAB 4 PERP Corp</t>
  </si>
  <si>
    <t>XS2401589903</t>
  </si>
  <si>
    <t>WARBAB 5.351 07/10/29 EMTN</t>
  </si>
  <si>
    <t>XS2855515875</t>
  </si>
  <si>
    <t>Financing Ijara asset and tradable Sukuk and equities</t>
  </si>
  <si>
    <t>WARBAB 6.25 PERP CORP</t>
  </si>
  <si>
    <t>XS3033764450</t>
  </si>
  <si>
    <t>Sukuk Details</t>
  </si>
  <si>
    <t>Zakat Amount</t>
  </si>
  <si>
    <t>Full year investment period (if applicable)</t>
  </si>
  <si>
    <t xml:space="preserve">Structure </t>
  </si>
  <si>
    <t xml:space="preserve"> (Hijri Yea or  Calendar Year)</t>
  </si>
  <si>
    <t>Ijarah Assets Ratio</t>
  </si>
  <si>
    <t>Total Zakat amount 
(in UAE Dirhams)</t>
  </si>
  <si>
    <t>Total Zakat amount
 (in US Dollars)</t>
  </si>
  <si>
    <t>Description</t>
  </si>
  <si>
    <t>Currency</t>
  </si>
  <si>
    <t>Shares Ratio</t>
  </si>
  <si>
    <t>Note</t>
  </si>
  <si>
    <t>الأصول الملموسة هي الأصول المؤجرة</t>
  </si>
  <si>
    <t>الأصول الملموسة هي الأصول المؤجرة بالإضافة إلى نسبة الأسهم</t>
  </si>
  <si>
    <t>كل الأصول مؤجرة</t>
  </si>
  <si>
    <t>الأصول الملموسة هي الأصول المؤجرة حسب المعلومات المتوفرة عند الإصدار</t>
  </si>
  <si>
    <t>Cuurency</t>
  </si>
  <si>
    <t>Distribution 1</t>
  </si>
  <si>
    <t>Distribution 2</t>
  </si>
  <si>
    <t>15/05/2026</t>
  </si>
  <si>
    <t>18/07/2026</t>
  </si>
  <si>
    <t>06/05/2026</t>
  </si>
  <si>
    <t>03/04/2026</t>
  </si>
  <si>
    <t>17/06/2026</t>
  </si>
  <si>
    <t>29/03/2026</t>
  </si>
  <si>
    <t>01/04/2026</t>
  </si>
  <si>
    <t>30/04/2026</t>
  </si>
  <si>
    <t>31/05/2026</t>
  </si>
  <si>
    <t>04/06/2026</t>
  </si>
  <si>
    <t>09/03/2026</t>
  </si>
  <si>
    <t>21/07/2026</t>
  </si>
  <si>
    <t>16/05/2026</t>
  </si>
  <si>
    <t>15/07/2026</t>
  </si>
  <si>
    <t>25/07/2026</t>
  </si>
  <si>
    <t>09/04/2026</t>
  </si>
  <si>
    <t>03/03/2026</t>
  </si>
  <si>
    <t>06/03/2026</t>
  </si>
  <si>
    <t>28/05/2026</t>
  </si>
  <si>
    <t>24/03/2026</t>
  </si>
  <si>
    <t>19/05/2026</t>
  </si>
  <si>
    <t>12/03/2026</t>
  </si>
  <si>
    <t>05/08/2026</t>
  </si>
  <si>
    <t>24/06/2026</t>
  </si>
  <si>
    <t>08/06/2026</t>
  </si>
  <si>
    <t>22/05/2026</t>
  </si>
  <si>
    <t>29/06/2026</t>
  </si>
  <si>
    <t>22/03/2026</t>
  </si>
  <si>
    <t>29/05/2026</t>
  </si>
  <si>
    <t>22/04/2026</t>
  </si>
  <si>
    <t>13/05/2026</t>
  </si>
  <si>
    <t>29/07/2026</t>
  </si>
  <si>
    <t>07/02/2026</t>
  </si>
  <si>
    <t>28/02/2026</t>
  </si>
  <si>
    <t>24/07/2026</t>
  </si>
  <si>
    <t>26/02/2026</t>
  </si>
  <si>
    <t>27/04/2026</t>
  </si>
  <si>
    <t>12/04/2026</t>
  </si>
  <si>
    <t>02/07/2026</t>
  </si>
  <si>
    <t>25/02/2026</t>
  </si>
  <si>
    <t>30/07/2026</t>
  </si>
  <si>
    <t>26/03/2026</t>
  </si>
  <si>
    <t>02/04/2026</t>
  </si>
  <si>
    <t>19/07/2026</t>
  </si>
  <si>
    <t>16/04/2026</t>
  </si>
  <si>
    <t>16/02/2026</t>
  </si>
  <si>
    <t>22/06/2026</t>
  </si>
  <si>
    <t>19/04/2026</t>
  </si>
  <si>
    <t>04/03/2026</t>
  </si>
  <si>
    <t>30/05/2026</t>
  </si>
  <si>
    <t>14/07/2026</t>
  </si>
  <si>
    <t>27/02/2026</t>
  </si>
  <si>
    <t>21/03/2026</t>
  </si>
  <si>
    <t>17/03/2026</t>
  </si>
  <si>
    <t>06/07/2026</t>
  </si>
  <si>
    <t>15/03/2026</t>
  </si>
  <si>
    <t>12/05/2026</t>
  </si>
  <si>
    <t>10/07/2026</t>
  </si>
  <si>
    <t>17/07/2026</t>
  </si>
  <si>
    <t>20/05/2026</t>
  </si>
  <si>
    <t>16/06/2026</t>
  </si>
  <si>
    <t>05/03/2026</t>
  </si>
  <si>
    <t>14/02/2026</t>
  </si>
  <si>
    <t>02/05/2026</t>
  </si>
  <si>
    <t>01/08/2026</t>
  </si>
  <si>
    <t>31/07/2026</t>
  </si>
  <si>
    <t>18/05/2026</t>
  </si>
  <si>
    <t>16/03/2026</t>
  </si>
  <si>
    <t>30/03/2026</t>
  </si>
  <si>
    <t>05/06/2026</t>
  </si>
  <si>
    <t>12/02/2026</t>
  </si>
  <si>
    <t>07/07/2026</t>
  </si>
  <si>
    <t>18/04/2026</t>
  </si>
  <si>
    <t>06/02/2026</t>
  </si>
  <si>
    <t>23/03/2026</t>
  </si>
  <si>
    <t>30/06/2026</t>
  </si>
  <si>
    <t>25/03/2026</t>
  </si>
  <si>
    <t>15/02/2026</t>
  </si>
  <si>
    <t>01/05/2026</t>
  </si>
  <si>
    <t>14/05/2026</t>
  </si>
  <si>
    <t>23/07/2026</t>
  </si>
  <si>
    <t>16/07/2026</t>
  </si>
  <si>
    <t>08/05/2026</t>
  </si>
  <si>
    <t>05/05/2026</t>
  </si>
  <si>
    <t>04/04/2026</t>
  </si>
  <si>
    <t>10/03/2026</t>
  </si>
  <si>
    <t>25/04/2026</t>
  </si>
  <si>
    <t>01/06/2026</t>
  </si>
  <si>
    <t>24/05/2026</t>
  </si>
  <si>
    <t>06/06/2026</t>
  </si>
  <si>
    <t>13/02/2026</t>
  </si>
  <si>
    <t>08/04/2026</t>
  </si>
  <si>
    <t>27/03/2026</t>
  </si>
  <si>
    <t>11/04/2026</t>
  </si>
  <si>
    <t>18/02/2026</t>
  </si>
  <si>
    <t>03/07/2026</t>
  </si>
  <si>
    <t>11/03/2026</t>
  </si>
  <si>
    <t>07/04/2026</t>
  </si>
  <si>
    <t>25/06/2026</t>
  </si>
  <si>
    <t>28/04/2026</t>
  </si>
  <si>
    <t>10/06/2026</t>
  </si>
  <si>
    <t>25/05/2026</t>
  </si>
  <si>
    <t>17/04/2026</t>
  </si>
  <si>
    <t>19/03/2026</t>
  </si>
  <si>
    <t>13/07/2026</t>
  </si>
  <si>
    <t>14/03/2026</t>
  </si>
  <si>
    <t>15/06/2026</t>
  </si>
  <si>
    <t>09/06/2026</t>
  </si>
  <si>
    <t>23/06/2026</t>
  </si>
  <si>
    <t>01/03/2026</t>
  </si>
  <si>
    <t>20/02/2026</t>
  </si>
  <si>
    <t>26/04/2026</t>
  </si>
  <si>
    <t>24/02/2026</t>
  </si>
  <si>
    <t>13/03/2026</t>
  </si>
  <si>
    <t>10/05/2026</t>
  </si>
  <si>
    <t>11/05/2026</t>
  </si>
  <si>
    <t>11/07/2026</t>
  </si>
  <si>
    <t>23/05/2026</t>
  </si>
  <si>
    <t>14/04/2026</t>
  </si>
  <si>
    <t>Abu Dhabi Islamic Bank PJSC (1)</t>
  </si>
  <si>
    <t>Abu Dhabi Islamic Bank PJSC (2)</t>
  </si>
  <si>
    <t>Al Rajhi Banking and Investment Corporation (1)</t>
  </si>
  <si>
    <t>Al Rajhi Banking and Investment Corporation (2)</t>
  </si>
  <si>
    <t>Banque Saudi Fransi (1)</t>
  </si>
  <si>
    <t>Banque Saudi Fransi (2)</t>
  </si>
  <si>
    <t>Banque Saudi Fransi (3)</t>
  </si>
  <si>
    <t>Alinma Bank (1)</t>
  </si>
  <si>
    <t>Alinma Bank (2)</t>
  </si>
  <si>
    <t>Alinma Bank (3)</t>
  </si>
  <si>
    <t>Almarai Company (1)</t>
  </si>
  <si>
    <t>Almarai Company (2)</t>
  </si>
  <si>
    <t>Arada Developments LLC. (1)</t>
  </si>
  <si>
    <t>Arada Developments LLC. (2)</t>
  </si>
  <si>
    <t>Arada Developments LLC. (3)</t>
  </si>
  <si>
    <t>Bank AlJazira (2)</t>
  </si>
  <si>
    <t>Bank AlJazira (3)</t>
  </si>
  <si>
    <t>Binghatti Holding Limited (1)</t>
  </si>
  <si>
    <t>Binghatti Holding Limited (2)</t>
  </si>
  <si>
    <t>Damac Real Estate Development Limited (1)</t>
  </si>
  <si>
    <t>Damac Real Estate Development Limited (2)</t>
  </si>
  <si>
    <t>Damac Real Estate Development Limited (3)</t>
  </si>
  <si>
    <t>Dar Al-Arkan Real Estate Development Company (1)</t>
  </si>
  <si>
    <t>Dar Al-Arkan Real Estate Development Company (2)</t>
  </si>
  <si>
    <t>Dar Al-Arkan Real Estate Development Company (3)</t>
  </si>
  <si>
    <t>DP World PLC (1)</t>
  </si>
  <si>
    <t>DP World PLC (2)</t>
  </si>
  <si>
    <t>DP World PLC (3)</t>
  </si>
  <si>
    <t>Dubai Islamic Bank PJSC (1)</t>
  </si>
  <si>
    <t>Dubai Islamic Bank PJSC (2)</t>
  </si>
  <si>
    <t>Dubai Islamic Bank PJSC (3)</t>
  </si>
  <si>
    <t>Dubai Islamic Bank PJSC (4)</t>
  </si>
  <si>
    <t>Dubai Islamic Bank PJSC (5)</t>
  </si>
  <si>
    <t>Dubai Islamic Bank PJSC (6)</t>
  </si>
  <si>
    <t>Dubai Islamic Bank PJSC (7)</t>
  </si>
  <si>
    <t>Dubai Islamic Bank PJSC (8)</t>
  </si>
  <si>
    <t>Emaar Properties PJSC. (1)</t>
  </si>
  <si>
    <t>Emaar Properties PJSC. (2)</t>
  </si>
  <si>
    <t>Emaar Properties PJSC. (3)</t>
  </si>
  <si>
    <t>Kuwait Finance House K.S.C.P (1)</t>
  </si>
  <si>
    <t>Kuwait Finance House K.S.C.P (2)</t>
  </si>
  <si>
    <t>Al Rajhi Banking and Investment Corporation (3)</t>
  </si>
  <si>
    <t>Al Rajhi Banking and Investment Corporation (4)</t>
  </si>
  <si>
    <t>Aldar Investment Properties LLC (1)</t>
  </si>
  <si>
    <t>Aldar Investment Properties LLC (2)</t>
  </si>
  <si>
    <t>Aldar Investment Properties LLC (3)</t>
  </si>
  <si>
    <t>Aldar Investment Properties LLC (4)</t>
  </si>
  <si>
    <t>Alinma Bank (4)</t>
  </si>
  <si>
    <t>Arabian Centres Company (3)</t>
  </si>
  <si>
    <t>Arabian Centres Company (4)</t>
  </si>
  <si>
    <t>Boubyan Bank K.S.C.P.(1)</t>
  </si>
  <si>
    <t>Boubyan Bank K.S.C.P.(2)</t>
  </si>
  <si>
    <t>Boubyan Bank K.S.C.P. (3)</t>
  </si>
  <si>
    <t>DP World PLC (4)</t>
  </si>
  <si>
    <t>DP World PLC (5)</t>
  </si>
  <si>
    <t>Coupon</t>
  </si>
  <si>
    <t>Murabaha Assets Ratio</t>
  </si>
  <si>
    <t>Structure Details</t>
  </si>
  <si>
    <t>100% Ijarah Assets</t>
  </si>
  <si>
    <t>100% shares</t>
  </si>
  <si>
    <t>Allotted Broadband Services (بيع منافع)</t>
  </si>
  <si>
    <t xml:space="preserve"> (بيع منافع)</t>
  </si>
  <si>
    <t>100% Allotted Throughput Services (بيع منافع)</t>
  </si>
  <si>
    <t>100% Broadband Data Services (بيع منافع)</t>
  </si>
  <si>
    <t>100% Rights to Travel (بيع منافع)</t>
  </si>
  <si>
    <t>100% Vouchers assets  (بيع منافع)</t>
  </si>
  <si>
    <t xml:space="preserve">100% Ijaraha Assets - </t>
  </si>
  <si>
    <t>100% Ijaraha Assets - Real estate assets</t>
  </si>
  <si>
    <t>100% Ijaraha Assets - Highways</t>
  </si>
  <si>
    <t>100% Ijaraha Assets - Electricity-related tangible assets</t>
  </si>
  <si>
    <t>100% Ijaraha Assets - -Real estate asset, electrical distribution works, wires and cables and substation assets</t>
  </si>
  <si>
    <t>100% Ijaraha Assets - Real estate asset, electrical distribution works, wires and cables and substation assets</t>
  </si>
  <si>
    <t>100% Ijaraha Assets - Power generation assets</t>
  </si>
  <si>
    <t>100% Ijaraha Assets - Electricity distribution assets comprising medium and low voltage power line networks</t>
  </si>
  <si>
    <t>100% Ijaraha Assets - Land, fixed plant and machinery, or infrastructure</t>
  </si>
  <si>
    <t>55% Ijarah Assets &amp; 45% Murabaha</t>
  </si>
  <si>
    <t xml:space="preserve">51% Ijarah Assets </t>
  </si>
  <si>
    <t>100% in the Mudaraba general pool</t>
  </si>
  <si>
    <t>52% Ijaraha Assets and 48% Airtime Vouchers, Shares</t>
  </si>
  <si>
    <t>26% Ijaraha Assets and 74% Shares and Sukuk</t>
  </si>
  <si>
    <t>34% Ijaraha Assets and 66%  leasehold interests and/or building rights</t>
  </si>
  <si>
    <t>34% Ijaraha Assets and 66%  Other Sharia Compliant Tangible Asset,</t>
  </si>
  <si>
    <t>34% Ijaraha Assets and 66%  and Other Sharia Compliant Tangible Asset,</t>
  </si>
  <si>
    <t>51% Ijaraha Assets and 49% Shares</t>
  </si>
  <si>
    <t>51% Ijarah Assets &amp; 49% Murabaha</t>
  </si>
  <si>
    <t>55% Ijarah Assets &amp; 45% Murabaha and other assets</t>
  </si>
  <si>
    <t>51% Ijarah Assets &amp; 49% Murabaha and other assets</t>
  </si>
  <si>
    <t>الأسس الشرعية لحساب الزكاة</t>
  </si>
  <si>
    <t xml:space="preserve">100% Aircraft Ijarah Assets </t>
  </si>
  <si>
    <t>Dukhan Bank Q.P.S.C. (1)</t>
  </si>
  <si>
    <t>Dukhan Bank Q.P.S.C. (2)</t>
  </si>
  <si>
    <t>Emirates Islamic Bank PJSC. (1)</t>
  </si>
  <si>
    <t>Emirates Islamic Bank PJSC. (2)</t>
  </si>
  <si>
    <t>Emirates Islamic Bank PJSC. (3)</t>
  </si>
  <si>
    <t>Emirates Islamic Bank PJSC. (4)</t>
  </si>
  <si>
    <t>Emirates Islamic Bank PJSC. (5)</t>
  </si>
  <si>
    <t>First Abu Dhabi Bank PJSC. (1)</t>
  </si>
  <si>
    <t xml:space="preserve">GFH Financial Group B.S.C. </t>
  </si>
  <si>
    <t>First Abu Dhabi Bank PJSC. (2)</t>
  </si>
  <si>
    <t>First Abu Dhabi Bank PJSC. (3)</t>
  </si>
  <si>
    <t>Government of Dubai (1)</t>
  </si>
  <si>
    <t>Government of Dubai (2)</t>
  </si>
  <si>
    <t>Kingdom of Bahrain (1)</t>
  </si>
  <si>
    <t>Kingdom of Bahrain (2)</t>
  </si>
  <si>
    <t>Kingdom of Bahrain (3)</t>
  </si>
  <si>
    <t>Kingdom of Bahrain (4)</t>
  </si>
  <si>
    <t>Kingdom of Bahrain (5)</t>
  </si>
  <si>
    <t>Kingdom of Bahrain (6)</t>
  </si>
  <si>
    <t>Kingdom of Bahrain (7)</t>
  </si>
  <si>
    <t>Kingdom of Bahrain (8)</t>
  </si>
  <si>
    <t>Kingdom of Bahrain (9)</t>
  </si>
  <si>
    <t>Kuwait Finance House K.S.C.P (3)</t>
  </si>
  <si>
    <t>Kuwait Finance House K.S.C.P (4)</t>
  </si>
  <si>
    <t xml:space="preserve">Kuwait International Bank K.S.C.P </t>
  </si>
  <si>
    <t>Majid Al Futtaim Properties LLC. (1)</t>
  </si>
  <si>
    <t>Majid Al Futtaim Properties LLC. (2)</t>
  </si>
  <si>
    <t>Majid Al Futtaim Properties LLC. (3)</t>
  </si>
  <si>
    <t>Majid Al Futtaim Properties LLC. (4)</t>
  </si>
  <si>
    <t xml:space="preserve">Mashreqbank psc. </t>
  </si>
  <si>
    <t>Mazoon Electricity Company S.A.O.C. (1)</t>
  </si>
  <si>
    <t>Mazoon Electricity Company S.A.O.C. (2)</t>
  </si>
  <si>
    <t>Mazoon Electricity Company S.A.O.C. (3)</t>
  </si>
  <si>
    <t>Mubadala (Mamoura Diversified Global Holding PJSC.) (1)</t>
  </si>
  <si>
    <t>Mubadala (Mamoura Diversified Global Holding PJSC.) (2)</t>
  </si>
  <si>
    <t>Mubadala (Mamoura Diversified Global Holding PJSC.) (3)</t>
  </si>
  <si>
    <t xml:space="preserve">National Central Cooling Company PJSC (Tabreed) </t>
  </si>
  <si>
    <t>Omniyat Holdings Ltd. (1)</t>
  </si>
  <si>
    <t>Omniyat Holdings Ltd. (2)</t>
  </si>
  <si>
    <t>Public Investment Fund (1)</t>
  </si>
  <si>
    <t>Public Investment Fund (2)</t>
  </si>
  <si>
    <t>Public Investment Fund (3)</t>
  </si>
  <si>
    <t>Public Investment Fund (4)</t>
  </si>
  <si>
    <t>Public Investment Fund (5)</t>
  </si>
  <si>
    <t>Qatar International Islamic Bank (Q.P.S.C.) (1)</t>
  </si>
  <si>
    <t>Qatar International Islamic Bank (Q.P.S.C.) (2)</t>
  </si>
  <si>
    <t>Qatar International Islamic Bank (Q.P.S.C.) (3)</t>
  </si>
  <si>
    <t>Qatar Islamic Bank (Q.P.S.C.) (1)</t>
  </si>
  <si>
    <t>Qatar Islamic Bank (Q.P.S.C.) (2)</t>
  </si>
  <si>
    <t>Saudi Arabian Mining Company (Ma’aden). (1)</t>
  </si>
  <si>
    <t>Saudi Arabian Mining Company (Ma’aden). (2)</t>
  </si>
  <si>
    <t>Saudi Arabian Oil Company (Aramco) (1)</t>
  </si>
  <si>
    <t>Saudi Arabian Oil Company (Aramco) (2)</t>
  </si>
  <si>
    <t>Saudi Arabian Oil Company (Aramco) (3)</t>
  </si>
  <si>
    <t>Saudi Arabian Oil Company (Aramco) (4)</t>
  </si>
  <si>
    <t>Saudi Arabian Oil Company (Aramco) (5)</t>
  </si>
  <si>
    <t>Saudi Arabian Oil Company (Aramco) (6)</t>
  </si>
  <si>
    <t>Saudi Electricity Company (1)</t>
  </si>
  <si>
    <t>Saudi Electricity Company (2)</t>
  </si>
  <si>
    <t>Saudi Electricity Company (3)</t>
  </si>
  <si>
    <t>Saudi Electricity Company (4)</t>
  </si>
  <si>
    <t>Saudi Electricity Company (5)</t>
  </si>
  <si>
    <t>Saudi Electricity Company (6)</t>
  </si>
  <si>
    <t>Saudi Electricity Company (7)</t>
  </si>
  <si>
    <t>Saudi Electricity Company (8)</t>
  </si>
  <si>
    <t>Saudi Electricity Company (9)</t>
  </si>
  <si>
    <t>Saudi Electricity Company (10)</t>
  </si>
  <si>
    <t>Sharjah Islamic Bank PJSC (1)</t>
  </si>
  <si>
    <t>Sharjah Islamic Bank PJSC (2)</t>
  </si>
  <si>
    <t>Sharjah Islamic Bank PJSC (3)</t>
  </si>
  <si>
    <t>Sobha (PNC Investments LLC) (1)</t>
  </si>
  <si>
    <t>Sobha (PNC Investments LLC) (2)</t>
  </si>
  <si>
    <t>Sobha (PNC Investments LLC) (3)</t>
  </si>
  <si>
    <t>The Arab Republic of Egypt (1)</t>
  </si>
  <si>
    <t>The Arab Republic of Egypt (2)</t>
  </si>
  <si>
    <t>The Arab Republic of Egypt (3)</t>
  </si>
  <si>
    <t>The Arab Republic of Egypt (4)</t>
  </si>
  <si>
    <t>The Government of Malaysia (1)</t>
  </si>
  <si>
    <t>The Government of Malaysia (2)</t>
  </si>
  <si>
    <t>The Government of the Emirate of Sharjah (1)</t>
  </si>
  <si>
    <t>The Government of the Emirate of Sharjah (2)</t>
  </si>
  <si>
    <t>The Government of the Emirate of Sharjah (3)</t>
  </si>
  <si>
    <t>The Government of the Emirate of Sharjah (4)</t>
  </si>
  <si>
    <t>The Government of the Emirate of Sharjah (5)</t>
  </si>
  <si>
    <t>The Government of the Emirate of Sharjah (6)</t>
  </si>
  <si>
    <t>The Government of the Emirate of Sharjah (7)</t>
  </si>
  <si>
    <t>The Government of the Emirate of Sharjah (8)</t>
  </si>
  <si>
    <t>The Government of the Emirate of Sharjah (9)</t>
  </si>
  <si>
    <t>The Government of the Sultanate of Oman (1)</t>
  </si>
  <si>
    <t>The Government of the Sultanate of Oman (2)</t>
  </si>
  <si>
    <t>The Islamic Corporation for the Development of the Private Sector (1)</t>
  </si>
  <si>
    <t>The Islamic Corporation for the Development of the Private Sector (2)</t>
  </si>
  <si>
    <t>The Kingdom of Saudi Arabia (1)</t>
  </si>
  <si>
    <t>The Kingdom of Saudi Arabia (2)</t>
  </si>
  <si>
    <t>The Oil &amp; Gas Holding Company B.S.C. (1)</t>
  </si>
  <si>
    <t>The Oil &amp; Gas Holding Company B.S.C. (2)</t>
  </si>
  <si>
    <t>The Republic of Indonesia (1)</t>
  </si>
  <si>
    <t>The Republic of Indonesia (2)</t>
  </si>
  <si>
    <t>The Republic of Indonesia (3)</t>
  </si>
  <si>
    <t>The Republic of Indonesia (4)</t>
  </si>
  <si>
    <t>The Republic of Indonesia (5)</t>
  </si>
  <si>
    <t>The Republic of Indonesia (6)</t>
  </si>
  <si>
    <t>The Republic of Indonesia (7)</t>
  </si>
  <si>
    <t>The Republic of Indonesia (8)</t>
  </si>
  <si>
    <t>The Republic of Indonesia (9)</t>
  </si>
  <si>
    <t>The Republic of Indonesia (10)</t>
  </si>
  <si>
    <t>The Republic of Indonesia (11)</t>
  </si>
  <si>
    <t>The Republic of Indonesia (12)</t>
  </si>
  <si>
    <t>The Republic of Indonesia (13)</t>
  </si>
  <si>
    <t>The Republic of Indonesia (14)</t>
  </si>
  <si>
    <t>The Republic of Indonesia (15)</t>
  </si>
  <si>
    <t>The Republic of Indonesia (16)</t>
  </si>
  <si>
    <t>The Republic of Indonesia (17)</t>
  </si>
  <si>
    <t>The Republic of Indonesia (18)</t>
  </si>
  <si>
    <t>The Republic of Indonesia (19)</t>
  </si>
  <si>
    <t>The Republic of Indonesia (20)</t>
  </si>
  <si>
    <t>The Republic of Indonesia (21)</t>
  </si>
  <si>
    <t>The Republic of Indonesia (22)</t>
  </si>
  <si>
    <t>The Republic OF Turkey (1)</t>
  </si>
  <si>
    <t>The Republic OF Turkey (2)</t>
  </si>
  <si>
    <t>The Republic OF Turkey (3)</t>
  </si>
  <si>
    <t>The Republic OF Turkey (4)</t>
  </si>
  <si>
    <t>The Republic OF Turkey (5)</t>
  </si>
  <si>
    <t>The Saudi National Bank (1)</t>
  </si>
  <si>
    <t>The Saudi National Bank (2)</t>
  </si>
  <si>
    <t>The UAE Fedral Government (1)</t>
  </si>
  <si>
    <t>The UAE Fedral Government (2)</t>
  </si>
  <si>
    <t>The UAE Fedral Government (3)</t>
  </si>
  <si>
    <t>The UAE Fedral Government (4)</t>
  </si>
  <si>
    <t>The UAE Fedral Government (5)</t>
  </si>
  <si>
    <t>The UAE Fedral Government (6)</t>
  </si>
  <si>
    <t>The UAE Fedral Government (7)</t>
  </si>
  <si>
    <t>Warba Bank K.S.C.P. (1)</t>
  </si>
  <si>
    <t>Warba Bank K.S.C.P. (2)</t>
  </si>
  <si>
    <t>Warba Bank K.S.C.P. (3)</t>
  </si>
  <si>
    <t>Zakatable Amount (of Investment amount)</t>
  </si>
  <si>
    <t xml:space="preserve">Distribution rate </t>
  </si>
  <si>
    <t>Previous Distribution Date</t>
  </si>
  <si>
    <t xml:space="preserve">Previous Distribution </t>
  </si>
  <si>
    <t>Accrued Return days</t>
  </si>
  <si>
    <t>Daily Return</t>
  </si>
  <si>
    <t>Return Amount (in Zakat period )</t>
  </si>
  <si>
    <t>Total Zakatable Amount</t>
  </si>
  <si>
    <t>Investment Amount Zakatable Ratio</t>
  </si>
  <si>
    <t>54% Ijarah Assets &amp; 46% Murabaha</t>
  </si>
  <si>
    <t xml:space="preserve"> Assets Ratio(s)</t>
  </si>
  <si>
    <t>Mudarabah Pool Zakatable Ratio</t>
  </si>
  <si>
    <t>العملة</t>
  </si>
  <si>
    <t>اسم الصكوك</t>
  </si>
  <si>
    <t>نسبة الأصول</t>
  </si>
  <si>
    <t>الهيكلة الشرعية</t>
  </si>
  <si>
    <t>المبلغ الزكوي</t>
  </si>
  <si>
    <t>مبلغ الزكاة (بالدولار الأمريكي)</t>
  </si>
  <si>
    <t>مبلغ الزكاة (بالدرهم الإماراتي)</t>
  </si>
  <si>
    <t xml:space="preserve">تفاصيل الهيكلة الشرعية </t>
  </si>
  <si>
    <t>رقم تعريف الصكوك الدولي (ISIN)</t>
  </si>
  <si>
    <t>سنة هجرية أو ميلادية</t>
  </si>
  <si>
    <t>المبلغ المستثمر</t>
  </si>
  <si>
    <t>Input Data  البيانات المطلوبة</t>
  </si>
  <si>
    <t>تاريخ حساب الزكاة</t>
  </si>
  <si>
    <t>Zakat Calculation Date</t>
  </si>
  <si>
    <r>
      <t xml:space="preserve">Sukuk Zakat Calculator  </t>
    </r>
    <r>
      <rPr>
        <b/>
        <sz val="29"/>
        <color rgb="FF002060"/>
        <rFont val="Dreaming Outloud Pro"/>
        <family val="4"/>
      </rPr>
      <t>حاسبة زكاة الصكوك</t>
    </r>
  </si>
  <si>
    <t>منشئ الصكوك</t>
  </si>
  <si>
    <t>Shari'a Basis for Zakat Calculation</t>
  </si>
  <si>
    <r>
      <t xml:space="preserve">o	</t>
    </r>
    <r>
      <rPr>
        <b/>
        <sz val="11"/>
        <color theme="1"/>
        <rFont val="Calibri"/>
        <family val="2"/>
        <scheme val="minor"/>
      </rPr>
      <t>Sukuk based on Ijarah Structure only</t>
    </r>
    <r>
      <rPr>
        <sz val="11"/>
        <color theme="1"/>
        <rFont val="Calibri"/>
        <family val="2"/>
        <scheme val="minor"/>
      </rPr>
      <t xml:space="preserve">
   -  Zakat is applicable to the non- distributed accrued return, calculated from the last distribution date till Zakat calculation date (such return does not include return that has been distributed before such last distribution date). </t>
    </r>
  </si>
  <si>
    <t xml:space="preserve">•	الصكوك القائمة على صيغتي الإجارة والمرابحة
o	  يُزكَّى كل العائد المتراكم غير الموزَّع محسوبا من تاريخ آخر توزيع إلى تاريخ الزكاة (ولا يشمل ذلك العائد الموزع قبل ذلك التاريخ)
o	  كما يُزكّى كل المبلغ المستثمر في المرابحات. . </t>
  </si>
  <si>
    <r>
      <t xml:space="preserve">o	</t>
    </r>
    <r>
      <rPr>
        <b/>
        <sz val="11"/>
        <color theme="1"/>
        <rFont val="Calibri"/>
        <family val="2"/>
        <scheme val="minor"/>
      </rPr>
      <t>Sukuk based on Ijarah and Murabaha Structure</t>
    </r>
    <r>
      <rPr>
        <sz val="11"/>
        <color theme="1"/>
        <rFont val="Calibri"/>
        <family val="2"/>
        <scheme val="minor"/>
      </rPr>
      <t xml:space="preserve">
-   Zakat is applicable to the non- distributed accrued return, calculated from the last distribution date till Zakat calculation date (such return does not include return that has been distributed before such last distribution date). 
-  Zakat is also applicable to  the amount invested in Murabaha structures. </t>
    </r>
  </si>
  <si>
    <t>Zakat Rate (return amount)</t>
  </si>
  <si>
    <t>نسبة الزكاة بالنسبة للمبلغ المستثمر</t>
  </si>
  <si>
    <r>
      <t>•</t>
    </r>
    <r>
      <rPr>
        <b/>
        <sz val="11"/>
        <color theme="1"/>
        <rFont val="Calibri"/>
        <family val="2"/>
        <scheme val="minor"/>
      </rPr>
      <t xml:space="preserve">	الصكوك القائمة على صيغتي الإجارة والاستصناع</t>
    </r>
    <r>
      <rPr>
        <sz val="11"/>
        <color theme="1"/>
        <rFont val="Calibri"/>
        <family val="2"/>
        <scheme val="minor"/>
      </rPr>
      <t xml:space="preserve">
o	 اذا كان الجزء الذي يخصُّ الاستصناع في هذه الصكوك يقصد به الإجارة الموصوفة في الذمة (وفقا لما هو محدد في نشرة الإصدار أو في حال الحصول على المعلومات من مصادرها الموثوقة)، فتُعامل هذه الصكوك معاملة الصكوك التي تقوم على صيغة الإجارة.
 -  </t>
    </r>
    <r>
      <rPr>
        <b/>
        <sz val="11"/>
        <color theme="1"/>
        <rFont val="Calibri"/>
        <family val="2"/>
        <scheme val="minor"/>
      </rPr>
      <t xml:space="preserve">وفي حال غياب هذا التفصيل، تُحسب زكاتها كما يلي:
</t>
    </r>
    <r>
      <rPr>
        <sz val="11"/>
        <color theme="1"/>
        <rFont val="Calibri"/>
        <family val="2"/>
        <scheme val="minor"/>
      </rPr>
      <t xml:space="preserve">• 	 يُزكّى كل العائد المتراكم غير الموزَّع محسوبا من تاريخ آخر توزيع إلى تاريخ الزكاة (ولا يشمل ذلك العائد الموزع قبل ذلك التاريخ) .
• 	 كما يُزكى كل المبلغ المستثمر في صيغة الاستصناع، بحسب نسبته في المبلغ المستثمر في هذه الصك.
</t>
    </r>
  </si>
  <si>
    <r>
      <t xml:space="preserve">•	 </t>
    </r>
    <r>
      <rPr>
        <b/>
        <sz val="11"/>
        <color theme="1"/>
        <rFont val="Calibri"/>
        <family val="2"/>
        <scheme val="minor"/>
      </rPr>
      <t>الصكوك القائمة على صيغة الإجارة فقط</t>
    </r>
    <r>
      <rPr>
        <sz val="11"/>
        <color theme="1"/>
        <rFont val="Calibri"/>
        <family val="2"/>
        <scheme val="minor"/>
      </rPr>
      <t xml:space="preserve">
o	 يُزكَّى العائد المتراكم غير الموزَّع محسوبا من تاريخ آخر توزيع إلى تاريخ الزكاة (ولا يشمل ذلك العائد الموزع قبل ذلك التاريخ).</t>
    </r>
  </si>
  <si>
    <r>
      <t xml:space="preserve">o	</t>
    </r>
    <r>
      <rPr>
        <b/>
        <sz val="11"/>
        <color theme="1"/>
        <rFont val="Calibri"/>
        <family val="2"/>
        <scheme val="minor"/>
      </rPr>
      <t>Sukuk based on Ijarah and Murabaha Structure</t>
    </r>
    <r>
      <rPr>
        <sz val="11"/>
        <color theme="1"/>
        <rFont val="Calibri"/>
        <family val="2"/>
        <scheme val="minor"/>
      </rPr>
      <t xml:space="preserve">
- If the portion related to Istisnaa structure in these Sukuk is for a forward Ijarah (as specified in the prospectus or obtained from trustworthy sources), then such portion’s zakat is treated on the same basis applicable to Sukuk based on Ijarah structure.
- </t>
    </r>
    <r>
      <rPr>
        <b/>
        <sz val="11"/>
        <color theme="1"/>
        <rFont val="Calibri"/>
        <family val="2"/>
        <scheme val="minor"/>
      </rPr>
      <t xml:space="preserve">	In the absence of such details, its zakat is calculated as follows:</t>
    </r>
    <r>
      <rPr>
        <sz val="11"/>
        <color theme="1"/>
        <rFont val="Calibri"/>
        <family val="2"/>
        <scheme val="minor"/>
      </rPr>
      <t xml:space="preserve">
•	 Zakat is applicable to the non- distributed accrued return, calculated from the last distribution date till Zakat calculation date (such return does not include return that has been distributed before such last distribution date). 
•	 Zakat is also applicable to the amount invested in Istisnaa structures. </t>
    </r>
  </si>
  <si>
    <t>تحديد تاريخٍ معينٍ لحساب الزكاة</t>
  </si>
  <si>
    <r>
      <t xml:space="preserve">o	</t>
    </r>
    <r>
      <rPr>
        <b/>
        <sz val="11"/>
        <color theme="1"/>
        <rFont val="Calibri"/>
        <family val="2"/>
        <scheme val="minor"/>
      </rPr>
      <t>Sukuk based on Mudarabah Structure</t>
    </r>
    <r>
      <rPr>
        <sz val="11"/>
        <color theme="1"/>
        <rFont val="Calibri"/>
        <family val="2"/>
        <scheme val="minor"/>
      </rPr>
      <t xml:space="preserve">
- If it is Tier 1 Sukuk and the Islamic financial institution has disclosed the specific Zakat amount for each amount unit that is invested in these Sukuk, </t>
    </r>
    <r>
      <rPr>
        <b/>
        <sz val="11"/>
        <color theme="1"/>
        <rFont val="Calibri"/>
        <family val="2"/>
        <scheme val="minor"/>
      </rPr>
      <t>then Zakat is applicable only to such amount.</t>
    </r>
    <r>
      <rPr>
        <sz val="11"/>
        <color theme="1"/>
        <rFont val="Calibri"/>
        <family val="2"/>
        <scheme val="minor"/>
      </rPr>
      <t xml:space="preserve">
      • </t>
    </r>
    <r>
      <rPr>
        <b/>
        <sz val="11"/>
        <color theme="1"/>
        <rFont val="Calibri"/>
        <family val="2"/>
        <scheme val="minor"/>
      </rPr>
      <t xml:space="preserve">Zakat is also applicable to the non- distributed accrued return, calculated from the last distribution date till Zakat calculation date (such return does not include return that has been distributed before such last distribution date). </t>
    </r>
    <r>
      <rPr>
        <sz val="11"/>
        <color theme="1"/>
        <rFont val="Calibri"/>
        <family val="2"/>
        <scheme val="minor"/>
      </rPr>
      <t xml:space="preserve">
 - If the Islamic Financial Institution has not announced such details, its zakat is calculated, as any Sukuk based on Mudaraba structure, as follows:
     •</t>
    </r>
    <r>
      <rPr>
        <b/>
        <sz val="11"/>
        <color theme="1"/>
        <rFont val="Calibri"/>
        <family val="2"/>
        <scheme val="minor"/>
      </rPr>
      <t xml:space="preserve"> Zakat is applicable to the non- distributed accrued return, calculated from the last distribution date till Zakat calculation date (such return does not include return that has been distributed before such last distribution date). 
    • Zakat is also applicable to the entire amount invested in these Sukuk, as a conservative approach in the absence of the components of the assets of such Sukuk.
</t>
    </r>
    <r>
      <rPr>
        <sz val="11"/>
        <color theme="1"/>
        <rFont val="Calibri"/>
        <family val="2"/>
        <scheme val="minor"/>
      </rPr>
      <t>- If the Islamic Financial Institution has issued the Sukuk in  a country whose laws and/or regulations mandate the payment of Zakat to the government’s entity that is responsible for Zakat collection , then its zakat is calculated in such case as follows:
      •	Z</t>
    </r>
    <r>
      <rPr>
        <b/>
        <sz val="11"/>
        <color theme="1"/>
        <rFont val="Calibri"/>
        <family val="2"/>
        <scheme val="minor"/>
      </rPr>
      <t>akat is applicable to the non- distributed accrued return, calculated from the last distribution date till Zakat calculation date (such return does not include return that has been distributed before such last distribution date). 
      •	Zakat is NOT applicable to the entire amount invested in these Sukuk, (on the basis that it is paid to the government’s entity that is responsible for Zakat collection).</t>
    </r>
  </si>
  <si>
    <r>
      <t xml:space="preserve">•	الصكوك القائمة على صيغة المضاربة فقط:
- إذا كانت الصكوك صكوكَ الشق الأول من رأس المال وقامت المؤسسة المالية الإسلامية بتحديد مبلغ الزكاة لكل وحدة نقدية مستثمرة في هذه الصكوك، </t>
    </r>
    <r>
      <rPr>
        <b/>
        <sz val="11"/>
        <color theme="1"/>
        <rFont val="Calibri"/>
        <family val="2"/>
        <scheme val="minor"/>
      </rPr>
      <t>فيُزكَّى هذا المبلغ فقط</t>
    </r>
    <r>
      <rPr>
        <sz val="11"/>
        <color theme="1"/>
        <rFont val="Calibri"/>
        <family val="2"/>
        <scheme val="minor"/>
      </rPr>
      <t xml:space="preserve">.  
    </t>
    </r>
    <r>
      <rPr>
        <b/>
        <sz val="11"/>
        <color theme="1"/>
        <rFont val="Calibri"/>
        <family val="2"/>
        <scheme val="minor"/>
      </rPr>
      <t xml:space="preserve">  -  ويُزكَّى كذلك جميع العائد المتراكم غير الموزَّع محسوبا من تاريخ آخر توزيع إلى تاريخ الزكاة (ولا يشمل ذلك العائد الموزع قبل ذلك التاريخ</t>
    </r>
    <r>
      <rPr>
        <sz val="11"/>
        <color theme="1"/>
        <rFont val="Calibri"/>
        <family val="2"/>
        <scheme val="minor"/>
      </rPr>
      <t xml:space="preserve">).
 - إذا  لم تُعلن المؤسسة المالية الإسلامية مبلغ الزكاة لكل وحدة نقدية مُستثمرة في هذه الصكوك، فتزكَّى هذه الصكوك زكاة صكوك المضاربة العادية  كما يلي:
  </t>
    </r>
    <r>
      <rPr>
        <b/>
        <sz val="11"/>
        <color theme="1"/>
        <rFont val="Calibri"/>
        <family val="2"/>
        <scheme val="minor"/>
      </rPr>
      <t xml:space="preserve">    - يُزكَّى جميع العائد المتراكم غير الموزَّع محسوبا من تاريخ آخر توزيع إلى تاريخ الزكاة (ولا يشمل ذلك العائد الموزع قبل ذلك التاريخ).
</t>
    </r>
    <r>
      <rPr>
        <sz val="11"/>
        <color theme="1"/>
        <rFont val="Calibri"/>
        <family val="2"/>
        <scheme val="minor"/>
      </rPr>
      <t xml:space="preserve">    </t>
    </r>
    <r>
      <rPr>
        <b/>
        <sz val="11"/>
        <color theme="1"/>
        <rFont val="Calibri"/>
        <family val="2"/>
        <scheme val="minor"/>
      </rPr>
      <t>- ويزكَّى كل المبلغ المستثمر في هذه الصكوك (على سبيل الاحتياط لتعذر معرفة مكونات موجودات الصكوك).</t>
    </r>
    <r>
      <rPr>
        <sz val="11"/>
        <color theme="1"/>
        <rFont val="Calibri"/>
        <family val="2"/>
        <scheme val="minor"/>
      </rPr>
      <t xml:space="preserve">
    -  أما إذا كانت هذه الصكوك قد أصدرتها المؤسسة المالية الإسلامية في دولة يُلزم فيها القانون بدفع مبلغ الزكاة للجهة الحكومية المسؤولة عن تحصيل الزكاة، فتزكَّى هذه الصكوك كما يلي:
 </t>
    </r>
    <r>
      <rPr>
        <b/>
        <sz val="11"/>
        <color theme="1"/>
        <rFont val="Calibri"/>
        <family val="2"/>
        <scheme val="minor"/>
      </rPr>
      <t xml:space="preserve"> -  يُزكَّى جميع العائد المتراكم غير الموزَّع محسوبا من تاريخ آخر توزيع إلى تاريخ الزكاة (ولا يشمل ذلك العائد الموزع قبل ذلك التاريخ).
</t>
    </r>
    <r>
      <rPr>
        <sz val="11"/>
        <color theme="1"/>
        <rFont val="Calibri"/>
        <family val="2"/>
        <scheme val="minor"/>
      </rPr>
      <t xml:space="preserve">  </t>
    </r>
    <r>
      <rPr>
        <b/>
        <sz val="11"/>
        <color theme="1"/>
        <rFont val="Calibri"/>
        <family val="2"/>
        <scheme val="minor"/>
      </rPr>
      <t xml:space="preserve"> - ولا يزكَّى جميع المبلغ المستثمر في هذه الصكوك (باعتبار أنه قد تم دفع مبلغ الزكاة للجهة الحكومية المسؤولة عن تحصيلها) .</t>
    </r>
  </si>
  <si>
    <r>
      <t xml:space="preserve">•	</t>
    </r>
    <r>
      <rPr>
        <b/>
        <sz val="11"/>
        <color theme="1"/>
        <rFont val="Calibri"/>
        <family val="2"/>
        <scheme val="minor"/>
      </rPr>
      <t>الصكوك القائمة على صيغة بيع المنافع فقط</t>
    </r>
    <r>
      <rPr>
        <sz val="11"/>
        <color theme="1"/>
        <rFont val="Calibri"/>
        <family val="2"/>
        <scheme val="minor"/>
      </rPr>
      <t xml:space="preserve">
       o     يزكى جميع العائد المتراكم غير الموزَّع محسوبا من تاريخ آخر توزيع إلى تاريخ الزكاة (ولا يشمل ذلك العائد الموزع قبل ذلك التاريخ)، ويزكَى كذلك كل المبلغ المستثمر في هذه الصكوك.</t>
    </r>
  </si>
  <si>
    <r>
      <t xml:space="preserve">•	</t>
    </r>
    <r>
      <rPr>
        <b/>
        <sz val="11"/>
        <color theme="1"/>
        <rFont val="Calibri"/>
        <family val="2"/>
        <scheme val="minor"/>
      </rPr>
      <t>الصكوك القائمة على صيغة بيع المنافع فقط</t>
    </r>
    <r>
      <rPr>
        <sz val="11"/>
        <color theme="1"/>
        <rFont val="Calibri"/>
        <family val="2"/>
        <scheme val="minor"/>
      </rPr>
      <t xml:space="preserve">
       o     يزكى جميع العائد المتراكم غير الموزَّع محسوبا من تاريخ آخر توزيع إلى تاريخ الزكاة (ولا يشمل ذلك العائد الموزع قبل ذلك التاريخ)، 
       o      ويزكَى كذلك كل المبلغ المستثمر في هذه الصكوك.</t>
    </r>
  </si>
  <si>
    <r>
      <t xml:space="preserve">o	</t>
    </r>
    <r>
      <rPr>
        <b/>
        <sz val="11"/>
        <color theme="1"/>
        <rFont val="Calibri"/>
        <family val="2"/>
        <scheme val="minor"/>
      </rPr>
      <t>Sukuk based on “Usufruct Sale” Structure</t>
    </r>
    <r>
      <rPr>
        <sz val="11"/>
        <color theme="1"/>
        <rFont val="Calibri"/>
        <family val="2"/>
        <scheme val="minor"/>
      </rPr>
      <t xml:space="preserve">
        •	Zakat is also applicable to the non- distributed accrued return, calculated from the last distribution date till Zakat calculation date (such return does not include return that has been distributed before such last distribution date). 
         •	Zakat is also applicable to the entire amount invested in these Sukuk.</t>
    </r>
  </si>
  <si>
    <r>
      <t xml:space="preserve">•	</t>
    </r>
    <r>
      <rPr>
        <b/>
        <sz val="11"/>
        <color theme="1"/>
        <rFont val="Calibri"/>
        <family val="2"/>
        <scheme val="minor"/>
      </rPr>
      <t>الصكوك القائمة على صيغة الاستثمار في الأسهم فقط:</t>
    </r>
    <r>
      <rPr>
        <sz val="11"/>
        <color theme="1"/>
        <rFont val="Calibri"/>
        <family val="2"/>
        <scheme val="minor"/>
      </rPr>
      <t xml:space="preserve">
             o    	يزكى جميع العائد المتراكم غير الموزَّع محسوبا من تاريخ آخر توزيع إلى تاريخ الزكاة (ولا يشمل ذلك العائد الموزع قبل ذلك التاريخ)، 
              o           ويزكَى كذلك كل المبلغ المستثمر في هذه الصكوك.</t>
    </r>
  </si>
  <si>
    <r>
      <t xml:space="preserve">o	</t>
    </r>
    <r>
      <rPr>
        <b/>
        <sz val="11"/>
        <color theme="1"/>
        <rFont val="Calibri"/>
        <family val="2"/>
        <scheme val="minor"/>
      </rPr>
      <t>Sukuk based on “Investment in Shares” Structure</t>
    </r>
    <r>
      <rPr>
        <sz val="11"/>
        <color theme="1"/>
        <rFont val="Calibri"/>
        <family val="2"/>
        <scheme val="minor"/>
      </rPr>
      <t xml:space="preserve">
        •	   Zakat is also applicable to the non- distributed accrued return, calculated from the last distribution date till Zakat calculation date (such return does not include return that has been distributed before such last distribution date). 
        •     	Zakat is also applicable to the entire amount invested in these Sukuk.</t>
    </r>
  </si>
  <si>
    <t>Wakala + Ijara + other structures</t>
  </si>
  <si>
    <r>
      <t xml:space="preserve">•	</t>
    </r>
    <r>
      <rPr>
        <b/>
        <sz val="11"/>
        <color theme="1"/>
        <rFont val="Calibri"/>
        <family val="2"/>
        <scheme val="minor"/>
      </rPr>
      <t>الصكوك القائمة على صيغة الإجارة وصيغ أخرى:</t>
    </r>
    <r>
      <rPr>
        <sz val="11"/>
        <color theme="1"/>
        <rFont val="Calibri"/>
        <family val="2"/>
        <scheme val="minor"/>
      </rPr>
      <t xml:space="preserve">
                     o	   يُزكّى كل العائد غير الموزَّع محسوبا من تاريخ آخر توزيع إلى تاريخ الزكاة ( ولا يشمل ذلك العائد الموزع قبل ذلك التاريخ
                     o    كما يُزكَّى كل المبلغ المستثمر في الصيغ الأخرى، بحسب نسبته في المبلغ المستثمر في هذه الصيغ.</t>
    </r>
  </si>
  <si>
    <r>
      <t xml:space="preserve">o	</t>
    </r>
    <r>
      <rPr>
        <b/>
        <sz val="11"/>
        <color theme="1"/>
        <rFont val="Calibri"/>
        <family val="2"/>
        <scheme val="minor"/>
      </rPr>
      <t>Sukuk based on  Ijarah Structure and other Structures</t>
    </r>
    <r>
      <rPr>
        <sz val="11"/>
        <color theme="1"/>
        <rFont val="Calibri"/>
        <family val="2"/>
        <scheme val="minor"/>
      </rPr>
      <t xml:space="preserve">
       •	   Zakat is also applicable to the non- distributed accrued return, calculated from the last distribution date till Zakat calculation date (such return does not include return that has been distributed before such last distribution date). 
       •	   Zakat is also applicable to the entire amount invested in the other structures (other than Ijarah)</t>
    </r>
  </si>
  <si>
    <r>
      <t xml:space="preserve">•	</t>
    </r>
    <r>
      <rPr>
        <b/>
        <sz val="11"/>
        <color theme="1"/>
        <rFont val="Calibri"/>
        <family val="2"/>
        <scheme val="minor"/>
      </rPr>
      <t>الصكوك القائمة على صيغتي الإجارة والمرابحة بالإضافة إلى صيغ أخرى:</t>
    </r>
    <r>
      <rPr>
        <sz val="11"/>
        <color theme="1"/>
        <rFont val="Calibri"/>
        <family val="2"/>
        <scheme val="minor"/>
      </rPr>
      <t xml:space="preserve">
          o     يُزكّى كل العائد غير الموزَّع محسوبا من تاريخ آخر توزيع إلى تاريخ الزكاة ( ولا يشمل ذلك العائد الموزع قبل ذلك التاريخ).
          o     كما يُزكَّى كل المبلغ المستثمر في صيغة المرابحة وجميع الصيغ الأخرى، بحسب نسبته في المبلغ المستثمر في هذه الصيغ.</t>
    </r>
  </si>
  <si>
    <r>
      <t xml:space="preserve">o	</t>
    </r>
    <r>
      <rPr>
        <b/>
        <sz val="11"/>
        <color theme="1"/>
        <rFont val="Calibri"/>
        <family val="2"/>
        <scheme val="minor"/>
      </rPr>
      <t>Sukuk based on  Ijarah  and Murabaha Structures and other Structures</t>
    </r>
    <r>
      <rPr>
        <sz val="11"/>
        <color theme="1"/>
        <rFont val="Calibri"/>
        <family val="2"/>
        <scheme val="minor"/>
      </rPr>
      <t xml:space="preserve">
        •	   Zakat is also applicable to the non- distributed accrued return, calculated from the last distribution date till Zakat calculation date (such return does not include return that has been distributed before such last distribution date). 
        •	   Zakat is also applicable to the entire amount invested in the other structures (other than Ijarah)</t>
    </r>
  </si>
  <si>
    <t>Zakatable Amount (of Return amount)</t>
  </si>
  <si>
    <r>
      <t xml:space="preserve">•	 </t>
    </r>
    <r>
      <rPr>
        <b/>
        <sz val="11"/>
        <color theme="1"/>
        <rFont val="Calibri"/>
        <family val="2"/>
        <scheme val="minor"/>
      </rPr>
      <t xml:space="preserve">الصكوك القائمة على صيغة الوكالة بالاستثمار:
</t>
    </r>
    <r>
      <rPr>
        <sz val="11"/>
        <color theme="1"/>
        <rFont val="Calibri"/>
        <family val="2"/>
        <scheme val="minor"/>
      </rPr>
      <t xml:space="preserve">   o   	 تُزكَّى هذه الصكوك بحسب ما هو محدد في الوكالة بالاستثمار:
                   -  فإن كانت الوكالة متمحضة في صيغة استثمارية معينة، فتزكَّى زكاةَ هذه الصيغة، كأن تكون وكالة بالاستثمار في تأجير العقارات فقط، فتزكَّى زكاة الإجارة، أو تكون وكالة بالاستثمار في المرابحات فقط، فتزكَّى زكاة المرابحة.
       	-    فإذا كانت الوكالة بالاستثمار بعدة صيغ، فتزكَّى زكاةَ هذه الصِّيغ، بالنسبة والتناسب، وفقا للمطبق على كل صيغة. 
                 -   وإذا جُهلَت هذه النسب، ولم توجَد قرائن تدل عليها، فإنه يزكَّى العائد المتراكم غير الموزَّع محسوبا من تاريخ آخر توزيع إلى تاريخ الزكاة (ولا يشمل ذلك العائد الموزع قبل ذلك التاريخ)، ويزكَّى  ثلثا المبلغ المستثمر في هذه الصكوك (وذلك على سبيل التقدير احتياطا).</t>
    </r>
  </si>
  <si>
    <t xml:space="preserve"> Zakatable amount of Investment amount</t>
  </si>
  <si>
    <t xml:space="preserve"> Zakatable amount of return amount</t>
  </si>
  <si>
    <t>المبلغ الزكوي بالنسبة لمبلغ الاستثمار</t>
  </si>
  <si>
    <t>المبلغ الزكوي بالنسبة لمبلغ العائد</t>
  </si>
  <si>
    <t>نسبة الزكاة بالنسبة للعائد</t>
  </si>
  <si>
    <t>زكاة مبلغ الاستثمار</t>
  </si>
  <si>
    <t>زكاة مبلغ العائد</t>
  </si>
  <si>
    <t xml:space="preserve">Zakat Calculation Date      </t>
  </si>
  <si>
    <t xml:space="preserve"> Zakat of Investment amount</t>
  </si>
  <si>
    <t xml:space="preserve"> Zakat of return amount</t>
  </si>
  <si>
    <t xml:space="preserve"> Zakat rate (on Investment amount)</t>
  </si>
  <si>
    <r>
      <rPr>
        <b/>
        <sz val="28"/>
        <color rgb="FF002060"/>
        <rFont val="Arial"/>
        <family val="2"/>
      </rPr>
      <t xml:space="preserve">           Sukuk Zakat Report      </t>
    </r>
    <r>
      <rPr>
        <b/>
        <sz val="36"/>
        <color rgb="FF002060"/>
        <rFont val="Arial"/>
        <family val="2"/>
      </rPr>
      <t xml:space="preserve">  تقرير زكاة الصكوك</t>
    </r>
  </si>
  <si>
    <r>
      <t xml:space="preserve">o	</t>
    </r>
    <r>
      <rPr>
        <b/>
        <sz val="11"/>
        <color theme="1"/>
        <rFont val="Calibri"/>
        <family val="2"/>
        <scheme val="minor"/>
      </rPr>
      <t>Sukuk based on Wakala for Investment Structure</t>
    </r>
    <r>
      <rPr>
        <sz val="11"/>
        <color theme="1"/>
        <rFont val="Calibri"/>
        <family val="2"/>
        <scheme val="minor"/>
      </rPr>
      <t xml:space="preserve">
  -  Zakat of these Sukuk is based on the underlying Shari’a structures specified in the Waakala for Investment:
           • 	  If the Sukuk is solely based on a specific structure, then its zakat is calculated on the same Shari’a basis applicable on such structure. For example, if the Wakala for investment is limited to leasing properties, then its zakat is calculated on the Shari’a basis applicable on Ijarah structure. Similarly, if the Wakala for investment is solely limited to Murabaha(s), then its zakat is calculated on the Shari’a basis applicable on Murabaha structure.
          •   if the Wakala for investment combines many structures, then such Sukuk Zakat is proportionally calculated on the Shari’a basis applicable on each Shari’a structure (on a pro rata basis).
      •     If such proportional percentages of these structures are unknown, then Zakat is applicable on the non- distributed accrued return, calculated from the last distribution date till Zakat calculation date (such return does not include return that has been distributed before such last distribution date) in addition to 66.67% of investment amount in these Sukuk (on a conservative basis). </t>
    </r>
  </si>
  <si>
    <t xml:space="preserve"> * تطبق هذه الأسس الشرعية لحساب زكاة الصكوك المقتناة للعائد، أما الصكوك المقتناة بغرض المتاجرة، فإنها تزكَّى بقيمتها السوقية وقت إخراج الزكاة.</t>
  </si>
  <si>
    <t>* These Shari’a rules are applicable to Sukuk held for returns. Zakat of Sukuk held for trading is calculated based on the market value of these Sukuk on the Zakat payment date.</t>
  </si>
  <si>
    <t xml:space="preserve"> </t>
  </si>
  <si>
    <t>Sukuk Originator</t>
  </si>
  <si>
    <t>اسم المنشئ</t>
  </si>
  <si>
    <r>
      <rPr>
        <b/>
        <sz val="24"/>
        <color rgb="FF002060"/>
        <rFont val="Arial"/>
        <family val="2"/>
      </rPr>
      <t>Shari'a basis for Zakat calculation</t>
    </r>
    <r>
      <rPr>
        <sz val="19"/>
        <color rgb="FF002060"/>
        <rFont val="Arial"/>
        <family val="2"/>
      </rPr>
      <t>*</t>
    </r>
    <r>
      <rPr>
        <b/>
        <sz val="22"/>
        <color rgb="FF002060"/>
        <rFont val="Arial"/>
        <family val="2"/>
      </rPr>
      <t xml:space="preserve">                 *</t>
    </r>
    <r>
      <rPr>
        <b/>
        <sz val="28"/>
        <color rgb="FF002060"/>
        <rFont val="Arial"/>
        <family val="2"/>
      </rPr>
      <t>الأسس الشرعية لحساب الزكاة</t>
    </r>
  </si>
  <si>
    <t>Abu Dhabi Islamic Bank PJSC</t>
  </si>
  <si>
    <t xml:space="preserve">      لمزيد من التفاصيل، يرجى الاطلاع على تقرير الزكاة
For more details, click to view Zakat Report </t>
  </si>
  <si>
    <t>Specificy Zakat Calculation Date</t>
  </si>
  <si>
    <t xml:space="preserve">  يرجى اختيار اسم الصكوك من القائمة</t>
  </si>
  <si>
    <t xml:space="preserve">  Please select  Sukuk Name (from the dropdown list)</t>
  </si>
  <si>
    <t>Maturity Date</t>
  </si>
  <si>
    <t xml:space="preserve">Shari'a Structure </t>
  </si>
  <si>
    <t xml:space="preserve">Al Rajhi Banking and Investment Corporation </t>
  </si>
  <si>
    <t>Al Rajhi Banking and Investment Corporation</t>
  </si>
  <si>
    <t>Aldar Investment Properties LLC</t>
  </si>
  <si>
    <t>Alinma Bank</t>
  </si>
  <si>
    <t>Almarai Company</t>
  </si>
  <si>
    <t>Arabian Centres Company</t>
  </si>
  <si>
    <t>Arada Developments LLC.</t>
  </si>
  <si>
    <t>Bank AlJazira</t>
  </si>
  <si>
    <t>Banque Saudi Fransi</t>
  </si>
  <si>
    <t>Binghatti Holding Limited</t>
  </si>
  <si>
    <t>Boubyan Bank K.S.C.P.</t>
  </si>
  <si>
    <t>Damac Real Estate Development Limited</t>
  </si>
  <si>
    <t>Dar Al-Arkan Real Estate Development Company</t>
  </si>
  <si>
    <t>DP World PLC</t>
  </si>
  <si>
    <t>Dubai Islamic Bank PJSC</t>
  </si>
  <si>
    <t>Dukhan Bank Q.P.S.C.</t>
  </si>
  <si>
    <t>Emirates Islamic Bank PJSC.</t>
  </si>
  <si>
    <t>First Abu Dhabi Bank PJSC.</t>
  </si>
  <si>
    <t>Government of Dubai</t>
  </si>
  <si>
    <t>Kingdom of Bahrain</t>
  </si>
  <si>
    <t>Kuwait Finance House K.S.C.P</t>
  </si>
  <si>
    <t>Majid Al Futtaim Properties LLC.</t>
  </si>
  <si>
    <t>Mazoon Electricity Company S.A.O.C.</t>
  </si>
  <si>
    <t>Mubadala (Mamoura Diversified Global Holding PJSC.)</t>
  </si>
  <si>
    <t>Omniyat Holdings Ltd.</t>
  </si>
  <si>
    <t>Public Investment Fund</t>
  </si>
  <si>
    <t>Qatar International Islamic Bank (Q.P.S.C.)</t>
  </si>
  <si>
    <t>Qatar Islamic Bank (Q.P.S.C.)</t>
  </si>
  <si>
    <t>Saudi Arabian Mining Company (Ma’aden)</t>
  </si>
  <si>
    <t>Saudi Arabian Oil Company (Aramco)</t>
  </si>
  <si>
    <t>Saudi Electricity Company</t>
  </si>
  <si>
    <t>Sharjah Islamic Bank PJSC</t>
  </si>
  <si>
    <t>Sobha (PNC Investments LLC)</t>
  </si>
  <si>
    <t>The Arab Republic of Egypt</t>
  </si>
  <si>
    <t>The Government of Malaysia</t>
  </si>
  <si>
    <t>The Government of the Emirate of Sharjah</t>
  </si>
  <si>
    <t>The Government of the Sultanate of Oman</t>
  </si>
  <si>
    <t>The Islamic Corporation for the Development of the Private Sector</t>
  </si>
  <si>
    <t>The Kingdom of Saudi Arabia</t>
  </si>
  <si>
    <t>The Oil &amp; Gas Holding Company B.S.C.</t>
  </si>
  <si>
    <t>The Republic of Indonesia</t>
  </si>
  <si>
    <t>The Republic OF Turkey</t>
  </si>
  <si>
    <t>The Saudi National Bank</t>
  </si>
  <si>
    <t>The UAE Fedral Government</t>
  </si>
  <si>
    <t>Warba Bank K.S.C.P.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</si>
</sst>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_(* #,##0.000_);_(* \(#,##0.000\);_(* &quot;-&quot;???_);_(@_)"/>
    <numFmt numFmtId="166" formatCode="[$USD]\ #,##0.00_);\([$USD]\ #,##0.00\)"/>
    <numFmt numFmtId="167" formatCode="[$AED]\ #,##0.00_);\([$AED]\ #,##0.00\)"/>
    <numFmt numFmtId="168" formatCode="0.0000%"/>
    <numFmt numFmtId="169" formatCode="0.00000%"/>
    <numFmt numFmtId="170" formatCode="0.00000000%"/>
    <numFmt numFmtId="171" formatCode="0.000000000%"/>
    <numFmt numFmtId="172" formatCode="[$AED]\ #,##0.00000000000000000000_);\([$AED]\ #,##0.00000000000000000000\)"/>
    <numFmt numFmtId="173" formatCode="[$-409]d\-mmm\-yyyy;@"/>
    <numFmt numFmtId="174" formatCode="_(* #,##0_);_(* \(#,##0\);_(* &quot;-&quot;??_);_(@_)"/>
    <numFmt numFmtId="175" formatCode="[$-409]dd\-mmmm\-yyyy;@"/>
    <numFmt numFmtId="176" formatCode="_(* #,##0.00_);_(* \(#,##0.00\);_(* &quot;-&quot;???_);_(@_)"/>
  </numFmts>
  <fonts count="62" x14ac:knownFonts="1">
    <font>
      <sz val="11"/>
      <color theme="1"/>
      <name val="Calibri"/>
      <family val="2"/>
      <scheme val="minor"/>
    </font>
    <font>
      <b/>
      <sz val="11"/>
      <name val="Calibri"/>
      <family val="2"/>
    </font>
    <font>
      <sz val="11"/>
      <color theme="1"/>
      <name val="Calibri"/>
      <family val="2"/>
      <scheme val="minor"/>
    </font>
    <font>
      <sz val="11"/>
      <color theme="0"/>
      <name val="Calibri"/>
      <family val="2"/>
      <scheme val="minor"/>
    </font>
    <font>
      <b/>
      <sz val="14"/>
      <color theme="1"/>
      <name val="Arial"/>
      <family val="2"/>
    </font>
    <font>
      <b/>
      <sz val="14"/>
      <color theme="1"/>
      <name val="Calibri"/>
      <family val="2"/>
      <scheme val="minor"/>
    </font>
    <font>
      <b/>
      <sz val="16"/>
      <color theme="1"/>
      <name val="Calibri"/>
      <family val="2"/>
      <scheme val="minor"/>
    </font>
    <font>
      <b/>
      <sz val="16"/>
      <color theme="1"/>
      <name val="Arial"/>
      <family val="2"/>
    </font>
    <font>
      <b/>
      <sz val="10"/>
      <color theme="0"/>
      <name val="ARIAL"/>
      <family val="2"/>
    </font>
    <font>
      <b/>
      <sz val="10"/>
      <color rgb="FF000000"/>
      <name val="ARIAL"/>
      <family val="2"/>
    </font>
    <font>
      <sz val="10"/>
      <color rgb="FFFF0000"/>
      <name val="Arial"/>
      <family val="2"/>
    </font>
    <font>
      <sz val="10"/>
      <color rgb="FF000000"/>
      <name val="Arial"/>
      <family val="2"/>
    </font>
    <font>
      <b/>
      <sz val="10"/>
      <color rgb="FFFF0000"/>
      <name val="Arial"/>
      <family val="2"/>
    </font>
    <font>
      <b/>
      <sz val="18"/>
      <color rgb="FF002060"/>
      <name val="Arial"/>
      <family val="2"/>
    </font>
    <font>
      <b/>
      <sz val="22"/>
      <color rgb="FF002060"/>
      <name val="Arial"/>
      <family val="2"/>
    </font>
    <font>
      <b/>
      <sz val="16"/>
      <color rgb="FF002060"/>
      <name val="Calibri"/>
      <family val="2"/>
      <scheme val="minor"/>
    </font>
    <font>
      <b/>
      <sz val="14"/>
      <color rgb="FF002060"/>
      <name val="Arial"/>
      <family val="2"/>
    </font>
    <font>
      <b/>
      <sz val="20"/>
      <color rgb="FF002060"/>
      <name val="Arial"/>
      <family val="2"/>
    </font>
    <font>
      <u/>
      <sz val="11"/>
      <color theme="10"/>
      <name val="Calibri"/>
      <family val="2"/>
      <scheme val="minor"/>
    </font>
    <font>
      <sz val="11"/>
      <color rgb="FFFF0000"/>
      <name val="Calibri"/>
      <family val="2"/>
      <scheme val="minor"/>
    </font>
    <font>
      <b/>
      <sz val="11"/>
      <color rgb="FFFF0000"/>
      <name val="Calibri"/>
      <family val="2"/>
    </font>
    <font>
      <b/>
      <sz val="11"/>
      <color theme="1"/>
      <name val="Calibri"/>
      <family val="2"/>
      <scheme val="minor"/>
    </font>
    <font>
      <b/>
      <sz val="19"/>
      <color rgb="FF002060"/>
      <name val="Arial"/>
      <family val="2"/>
    </font>
    <font>
      <sz val="8"/>
      <name val="Calibri"/>
      <family val="2"/>
      <scheme val="minor"/>
    </font>
    <font>
      <b/>
      <sz val="22"/>
      <color rgb="FF002060"/>
      <name val="Elephant"/>
      <family val="1"/>
    </font>
    <font>
      <b/>
      <sz val="12"/>
      <color rgb="FF002060"/>
      <name val="Calibri"/>
      <family val="2"/>
      <scheme val="minor"/>
    </font>
    <font>
      <b/>
      <sz val="14"/>
      <color theme="5" tint="-0.249977111117893"/>
      <name val="Arial"/>
      <family val="2"/>
    </font>
    <font>
      <b/>
      <sz val="12"/>
      <color theme="5" tint="-0.249977111117893"/>
      <name val="Arial"/>
      <family val="2"/>
    </font>
    <font>
      <b/>
      <sz val="29"/>
      <color rgb="FF002060"/>
      <name val="Elephant"/>
      <family val="1"/>
    </font>
    <font>
      <b/>
      <sz val="29"/>
      <color rgb="FF002060"/>
      <name val="Dreaming Outloud Pro"/>
      <family val="4"/>
    </font>
    <font>
      <b/>
      <sz val="36"/>
      <color rgb="FF002060"/>
      <name val="Arial"/>
      <family val="2"/>
    </font>
    <font>
      <b/>
      <sz val="28"/>
      <color rgb="FF002060"/>
      <name val="Arial"/>
      <family val="2"/>
    </font>
    <font>
      <b/>
      <sz val="12"/>
      <color theme="1"/>
      <name val="Calibri"/>
      <family val="2"/>
      <scheme val="minor"/>
    </font>
    <font>
      <b/>
      <sz val="19"/>
      <color rgb="FF002060"/>
      <name val="Calibri"/>
      <family val="2"/>
      <scheme val="minor"/>
    </font>
    <font>
      <b/>
      <sz val="19"/>
      <color theme="1"/>
      <name val="Arial"/>
      <family val="2"/>
    </font>
    <font>
      <b/>
      <sz val="24"/>
      <color rgb="FF002060"/>
      <name val="Arial"/>
      <family val="2"/>
    </font>
    <font>
      <sz val="11"/>
      <color rgb="FF000000"/>
      <name val="Aptos Narrow"/>
      <family val="2"/>
    </font>
    <font>
      <b/>
      <sz val="22"/>
      <color rgb="FF0070C0"/>
      <name val="Arial Black"/>
      <family val="2"/>
    </font>
    <font>
      <b/>
      <sz val="22"/>
      <color rgb="FF002060"/>
      <name val="ADLaM Display"/>
    </font>
    <font>
      <b/>
      <sz val="18"/>
      <color rgb="FF002060"/>
      <name val="Calibri"/>
      <family val="2"/>
      <scheme val="minor"/>
    </font>
    <font>
      <b/>
      <sz val="18"/>
      <color rgb="FF0070C0"/>
      <name val="Britannic Bold"/>
      <family val="2"/>
    </font>
    <font>
      <b/>
      <sz val="26"/>
      <color rgb="FF002060"/>
      <name val="Arial"/>
      <family val="2"/>
    </font>
    <font>
      <b/>
      <sz val="14"/>
      <color rgb="FF0070C0"/>
      <name val="Calibri"/>
      <family val="2"/>
      <scheme val="minor"/>
    </font>
    <font>
      <b/>
      <sz val="22"/>
      <color theme="0"/>
      <name val="Calibri"/>
      <family val="2"/>
      <scheme val="minor"/>
    </font>
    <font>
      <sz val="19"/>
      <color rgb="FF002060"/>
      <name val="Arial"/>
      <family val="2"/>
    </font>
    <font>
      <b/>
      <sz val="20"/>
      <color rgb="FF0070C0"/>
      <name val="Arial"/>
      <family val="2"/>
    </font>
    <font>
      <b/>
      <sz val="14"/>
      <color rgb="FFC00000"/>
      <name val="Calibri"/>
      <family val="2"/>
      <scheme val="minor"/>
    </font>
    <font>
      <b/>
      <sz val="9.5"/>
      <color rgb="FFC00000"/>
      <name val="Amasis MT Pro Black"/>
      <family val="1"/>
    </font>
    <font>
      <b/>
      <sz val="9"/>
      <color rgb="FFC00000"/>
      <name val="Calibri"/>
      <family val="2"/>
      <scheme val="minor"/>
    </font>
    <font>
      <b/>
      <sz val="24"/>
      <color rgb="FF0070C0"/>
      <name val="Arial Black"/>
      <family val="2"/>
    </font>
    <font>
      <b/>
      <sz val="11"/>
      <color theme="1"/>
      <name val="ADLaM Display"/>
    </font>
    <font>
      <b/>
      <sz val="24"/>
      <color rgb="FF002060"/>
      <name val="Aptos Slab Black"/>
      <family val="2"/>
    </font>
    <font>
      <b/>
      <sz val="16"/>
      <color theme="1"/>
      <name val="ADLaM Display"/>
    </font>
    <font>
      <b/>
      <sz val="20"/>
      <color theme="0"/>
      <name val="Amasis MT Pro Black"/>
      <family val="1"/>
    </font>
    <font>
      <b/>
      <sz val="16"/>
      <color rgb="FFC00000"/>
      <name val="Calibri"/>
      <family val="2"/>
      <scheme val="minor"/>
    </font>
    <font>
      <b/>
      <sz val="14"/>
      <color rgb="FFC00000"/>
      <name val="Arial"/>
      <family val="2"/>
    </font>
    <font>
      <b/>
      <sz val="20"/>
      <color rgb="FFC00000"/>
      <name val="Arial"/>
      <family val="2"/>
    </font>
    <font>
      <b/>
      <sz val="16"/>
      <color rgb="FFC00000"/>
      <name val="Arial"/>
      <family val="2"/>
    </font>
    <font>
      <b/>
      <sz val="26"/>
      <color theme="5" tint="-0.249977111117893"/>
      <name val="Arial"/>
      <family val="2"/>
    </font>
    <font>
      <b/>
      <u/>
      <sz val="26"/>
      <color rgb="FF0066FF"/>
      <name val="Elephant"/>
      <family val="1"/>
    </font>
    <font>
      <b/>
      <sz val="12"/>
      <color theme="1"/>
      <name val="Arial"/>
      <family val="2"/>
    </font>
    <font>
      <b/>
      <sz val="24"/>
      <color theme="3" tint="-0.249977111117893"/>
      <name val="Arial Black"/>
      <family val="2"/>
    </font>
  </fonts>
  <fills count="25">
    <fill>
      <patternFill patternType="none"/>
    </fill>
    <fill>
      <patternFill patternType="gray125"/>
    </fill>
    <fill>
      <patternFill patternType="solid">
        <fgColor rgb="FFD9EAD3"/>
        <bgColor rgb="FFD9EAD3"/>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theme="5" tint="0.79998168889431442"/>
        <bgColor rgb="FFD9EAD3"/>
      </patternFill>
    </fill>
    <fill>
      <patternFill patternType="solid">
        <fgColor theme="5"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FFC000"/>
        <bgColor rgb="FFD9EAD3"/>
      </patternFill>
    </fill>
    <fill>
      <patternFill patternType="solid">
        <fgColor theme="0" tint="-4.9989318521683403E-2"/>
        <bgColor indexed="64"/>
      </patternFill>
    </fill>
    <fill>
      <patternFill patternType="solid">
        <fgColor theme="6" tint="-0.249977111117893"/>
        <bgColor rgb="FFD9EAD3"/>
      </patternFill>
    </fill>
    <fill>
      <patternFill patternType="solid">
        <fgColor rgb="FFFFFF00"/>
        <bgColor rgb="FFD9EAD3"/>
      </patternFill>
    </fill>
    <fill>
      <patternFill patternType="solid">
        <fgColor rgb="FFD0D0D0"/>
        <bgColor indexed="64"/>
      </patternFill>
    </fill>
    <fill>
      <patternFill patternType="solid">
        <fgColor theme="4"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0"/>
        <bgColor rgb="FFD9EAD3"/>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CCCCCC"/>
      </right>
      <top style="thin">
        <color rgb="FFCCCCCC"/>
      </top>
      <bottom style="thin">
        <color rgb="FFCCCCCC"/>
      </bottom>
      <diagonal/>
    </border>
    <border>
      <left/>
      <right style="medium">
        <color indexed="64"/>
      </right>
      <top/>
      <bottom/>
      <diagonal/>
    </border>
    <border>
      <left style="medium">
        <color indexed="64"/>
      </left>
      <right/>
      <top/>
      <bottom/>
      <diagonal/>
    </border>
    <border>
      <left style="medium">
        <color indexed="64"/>
      </left>
      <right style="thin">
        <color rgb="FFCCCCCC"/>
      </right>
      <top style="thin">
        <color rgb="FFCCCCCC"/>
      </top>
      <bottom style="medium">
        <color indexed="64"/>
      </bottom>
      <diagonal/>
    </border>
    <border>
      <left style="thin">
        <color rgb="FFCCCCCC"/>
      </left>
      <right style="medium">
        <color indexed="64"/>
      </right>
      <top style="thin">
        <color rgb="FFCCCCCC"/>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rgb="FFCCCCCC"/>
      </right>
      <top style="thin">
        <color rgb="FFCCCCCC"/>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ck">
        <color auto="1"/>
      </right>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ck">
        <color auto="1"/>
      </left>
      <right style="thin">
        <color rgb="FFCCCCCC"/>
      </right>
      <top style="thick">
        <color auto="1"/>
      </top>
      <bottom style="thin">
        <color rgb="FFCCCCCC"/>
      </bottom>
      <diagonal/>
    </border>
    <border>
      <left style="thick">
        <color auto="1"/>
      </left>
      <right style="thin">
        <color rgb="FFCCCCCC"/>
      </right>
      <top style="thin">
        <color rgb="FFCCCCCC"/>
      </top>
      <bottom style="thin">
        <color rgb="FFCCCCCC"/>
      </bottom>
      <diagonal/>
    </border>
    <border>
      <left style="thin">
        <color indexed="64"/>
      </left>
      <right/>
      <top/>
      <bottom/>
      <diagonal/>
    </border>
    <border>
      <left style="thick">
        <color rgb="FF00B0F0"/>
      </left>
      <right/>
      <top style="thick">
        <color rgb="FF00B0F0"/>
      </top>
      <bottom/>
      <diagonal/>
    </border>
    <border>
      <left/>
      <right style="thick">
        <color rgb="FF00B0F0"/>
      </right>
      <top style="thick">
        <color rgb="FF00B0F0"/>
      </top>
      <bottom/>
      <diagonal/>
    </border>
    <border>
      <left style="thick">
        <color rgb="FF00B0F0"/>
      </left>
      <right/>
      <top/>
      <bottom/>
      <diagonal/>
    </border>
    <border>
      <left/>
      <right style="thick">
        <color rgb="FF00B0F0"/>
      </right>
      <top/>
      <bottom/>
      <diagonal/>
    </border>
    <border>
      <left/>
      <right style="thick">
        <color rgb="FF00B0F0"/>
      </right>
      <top/>
      <bottom style="thick">
        <color rgb="FF00B0F0"/>
      </bottom>
      <diagonal/>
    </border>
    <border>
      <left style="thick">
        <color rgb="FF002060"/>
      </left>
      <right/>
      <top style="thick">
        <color rgb="FF002060"/>
      </top>
      <bottom/>
      <diagonal/>
    </border>
    <border>
      <left/>
      <right style="thick">
        <color rgb="FF002060"/>
      </right>
      <top style="thick">
        <color rgb="FF002060"/>
      </top>
      <bottom/>
      <diagonal/>
    </border>
    <border>
      <left/>
      <right style="thick">
        <color rgb="FF002060"/>
      </right>
      <top/>
      <bottom/>
      <diagonal/>
    </border>
    <border>
      <left/>
      <right style="thick">
        <color rgb="FF002060"/>
      </right>
      <top/>
      <bottom style="thick">
        <color rgb="FF002060"/>
      </bottom>
      <diagonal/>
    </border>
    <border>
      <left style="thick">
        <color rgb="FF00B0F0"/>
      </left>
      <right style="thin">
        <color rgb="FFCCCCCC"/>
      </right>
      <top/>
      <bottom/>
      <diagonal/>
    </border>
    <border>
      <left style="thick">
        <color rgb="FF00B0F0"/>
      </left>
      <right style="thin">
        <color rgb="FFCCCCCC"/>
      </right>
      <top/>
      <bottom style="thick">
        <color rgb="FF00B0F0"/>
      </bottom>
      <diagonal/>
    </border>
    <border>
      <left/>
      <right/>
      <top/>
      <bottom style="thick">
        <color rgb="FF00B0F0"/>
      </bottom>
      <diagonal/>
    </border>
    <border>
      <left/>
      <right style="thick">
        <color rgb="FF002060"/>
      </right>
      <top style="thick">
        <color rgb="FF002060"/>
      </top>
      <bottom style="thick">
        <color rgb="FF002060"/>
      </bottom>
      <diagonal/>
    </border>
    <border>
      <left/>
      <right/>
      <top style="thick">
        <color rgb="FF002060"/>
      </top>
      <bottom/>
      <diagonal/>
    </border>
    <border>
      <left/>
      <right/>
      <top/>
      <bottom style="thick">
        <color rgb="FF002060"/>
      </bottom>
      <diagonal/>
    </border>
    <border>
      <left style="thick">
        <color rgb="FF002060"/>
      </left>
      <right style="thick">
        <color rgb="FF002060"/>
      </right>
      <top/>
      <bottom/>
      <diagonal/>
    </border>
    <border>
      <left style="thick">
        <color rgb="FF002060"/>
      </left>
      <right style="thick">
        <color rgb="FF002060"/>
      </right>
      <top/>
      <bottom style="thick">
        <color rgb="FF002060"/>
      </bottom>
      <diagonal/>
    </border>
    <border>
      <left/>
      <right style="thick">
        <color rgb="FF00B0F0"/>
      </right>
      <top style="thick">
        <color rgb="FF00B0F0"/>
      </top>
      <bottom style="thick">
        <color rgb="FF00B0F0"/>
      </bottom>
      <diagonal/>
    </border>
    <border>
      <left/>
      <right/>
      <top style="thick">
        <color rgb="FF00B0F0"/>
      </top>
      <bottom/>
      <diagonal/>
    </border>
    <border>
      <left style="thick">
        <color theme="4" tint="-0.499984740745262"/>
      </left>
      <right/>
      <top/>
      <bottom/>
      <diagonal/>
    </border>
    <border>
      <left style="thick">
        <color theme="4" tint="-0.499984740745262"/>
      </left>
      <right/>
      <top style="thick">
        <color theme="4" tint="-0.499984740745262"/>
      </top>
      <bottom/>
      <diagonal/>
    </border>
    <border>
      <left/>
      <right style="thick">
        <color theme="4" tint="-0.499984740745262"/>
      </right>
      <top style="thick">
        <color theme="4" tint="-0.499984740745262"/>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style="thick">
        <color theme="4" tint="-0.499984740745262"/>
      </right>
      <top/>
      <bottom style="thick">
        <color theme="4" tint="-0.499984740745262"/>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top style="thick">
        <color theme="4" tint="-0.499984740745262"/>
      </top>
      <bottom/>
      <diagonal/>
    </border>
    <border>
      <left/>
      <right/>
      <top/>
      <bottom style="thick">
        <color theme="4" tint="-0.499984740745262"/>
      </bottom>
      <diagonal/>
    </border>
    <border>
      <left style="thick">
        <color rgb="FF002060"/>
      </left>
      <right/>
      <top/>
      <bottom/>
      <diagonal/>
    </border>
    <border>
      <left style="thick">
        <color rgb="FF002060"/>
      </left>
      <right/>
      <top/>
      <bottom style="thick">
        <color rgb="FF002060"/>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style="medium">
        <color indexed="64"/>
      </left>
      <right style="medium">
        <color indexed="64"/>
      </right>
      <top/>
      <bottom style="medium">
        <color indexed="64"/>
      </bottom>
      <diagonal/>
    </border>
    <border>
      <left style="thick">
        <color rgb="FF002060"/>
      </left>
      <right style="thick">
        <color rgb="FF002060"/>
      </right>
      <top style="thick">
        <color rgb="FF002060"/>
      </top>
      <bottom/>
      <diagonal/>
    </border>
    <border>
      <left style="mediumDashed">
        <color rgb="FF00B0F0"/>
      </left>
      <right style="mediumDashed">
        <color rgb="FF00B0F0"/>
      </right>
      <top style="mediumDashed">
        <color rgb="FF00B0F0"/>
      </top>
      <bottom style="mediumDashed">
        <color rgb="FF00B0F0"/>
      </bottom>
      <diagonal/>
    </border>
    <border>
      <left style="thick">
        <color rgb="FF002060"/>
      </left>
      <right/>
      <top style="thick">
        <color rgb="FF002060"/>
      </top>
      <bottom style="mediumDashed">
        <color rgb="FF002060"/>
      </bottom>
      <diagonal/>
    </border>
    <border>
      <left/>
      <right style="thick">
        <color rgb="FF002060"/>
      </right>
      <top style="thick">
        <color rgb="FF002060"/>
      </top>
      <bottom style="mediumDashed">
        <color rgb="FF002060"/>
      </bottom>
      <diagonal/>
    </border>
    <border>
      <left style="thick">
        <color rgb="FF002060"/>
      </left>
      <right/>
      <top style="mediumDashed">
        <color rgb="FF002060"/>
      </top>
      <bottom style="mediumDashed">
        <color rgb="FF002060"/>
      </bottom>
      <diagonal/>
    </border>
    <border>
      <left/>
      <right style="thick">
        <color rgb="FF002060"/>
      </right>
      <top style="mediumDashed">
        <color rgb="FF002060"/>
      </top>
      <bottom style="mediumDashed">
        <color rgb="FF002060"/>
      </bottom>
      <diagonal/>
    </border>
    <border>
      <left style="thick">
        <color rgb="FF002060"/>
      </left>
      <right/>
      <top style="mediumDashed">
        <color rgb="FF002060"/>
      </top>
      <bottom style="thick">
        <color theme="4" tint="-0.499984740745262"/>
      </bottom>
      <diagonal/>
    </border>
    <border>
      <left/>
      <right/>
      <top style="mediumDashed">
        <color rgb="FF002060"/>
      </top>
      <bottom style="thick">
        <color theme="4" tint="-0.499984740745262"/>
      </bottom>
      <diagonal/>
    </border>
    <border>
      <left/>
      <right style="thick">
        <color rgb="FF002060"/>
      </right>
      <top style="mediumDashed">
        <color rgb="FF002060"/>
      </top>
      <bottom style="thick">
        <color theme="4" tint="-0.499984740745262"/>
      </bottom>
      <diagonal/>
    </border>
    <border>
      <left style="thick">
        <color rgb="FF002060"/>
      </left>
      <right style="thick">
        <color rgb="FF002060"/>
      </right>
      <top style="thick">
        <color rgb="FF002060"/>
      </top>
      <bottom style="mediumDashed">
        <color rgb="FF002060"/>
      </bottom>
      <diagonal/>
    </border>
    <border>
      <left style="thick">
        <color rgb="FF002060"/>
      </left>
      <right style="thick">
        <color rgb="FF002060"/>
      </right>
      <top style="mediumDashed">
        <color rgb="FF002060"/>
      </top>
      <bottom style="mediumDashed">
        <color rgb="FF002060"/>
      </bottom>
      <diagonal/>
    </border>
    <border>
      <left style="thick">
        <color rgb="FF00B0F0"/>
      </left>
      <right style="mediumDashed">
        <color rgb="FF002060"/>
      </right>
      <top style="thick">
        <color rgb="FF00B0F0"/>
      </top>
      <bottom style="mediumDashed">
        <color rgb="FF002060"/>
      </bottom>
      <diagonal/>
    </border>
    <border>
      <left style="mediumDashed">
        <color rgb="FF002060"/>
      </left>
      <right style="mediumDashed">
        <color rgb="FF002060"/>
      </right>
      <top style="thick">
        <color rgb="FF00B0F0"/>
      </top>
      <bottom style="mediumDashed">
        <color rgb="FF002060"/>
      </bottom>
      <diagonal/>
    </border>
    <border>
      <left style="mediumDashed">
        <color rgb="FF002060"/>
      </left>
      <right style="thick">
        <color rgb="FF00B0F0"/>
      </right>
      <top style="thick">
        <color rgb="FF00B0F0"/>
      </top>
      <bottom style="mediumDashed">
        <color rgb="FF002060"/>
      </bottom>
      <diagonal/>
    </border>
    <border>
      <left style="thick">
        <color rgb="FF00B0F0"/>
      </left>
      <right style="mediumDashed">
        <color rgb="FF002060"/>
      </right>
      <top style="mediumDashed">
        <color rgb="FF002060"/>
      </top>
      <bottom style="mediumDashed">
        <color rgb="FF002060"/>
      </bottom>
      <diagonal/>
    </border>
    <border>
      <left style="mediumDashed">
        <color rgb="FF002060"/>
      </left>
      <right style="mediumDashed">
        <color rgb="FF002060"/>
      </right>
      <top style="mediumDashed">
        <color rgb="FF002060"/>
      </top>
      <bottom style="mediumDashed">
        <color rgb="FF002060"/>
      </bottom>
      <diagonal/>
    </border>
    <border>
      <left style="mediumDashed">
        <color rgb="FF002060"/>
      </left>
      <right style="thick">
        <color rgb="FF00B0F0"/>
      </right>
      <top style="mediumDashed">
        <color rgb="FF002060"/>
      </top>
      <bottom style="mediumDashed">
        <color rgb="FF002060"/>
      </bottom>
      <diagonal/>
    </border>
    <border>
      <left style="thick">
        <color rgb="FF00B0F0"/>
      </left>
      <right style="mediumDashed">
        <color rgb="FF002060"/>
      </right>
      <top style="mediumDashed">
        <color rgb="FF002060"/>
      </top>
      <bottom style="thick">
        <color rgb="FF00B0F0"/>
      </bottom>
      <diagonal/>
    </border>
    <border>
      <left style="mediumDashed">
        <color rgb="FF002060"/>
      </left>
      <right style="mediumDashed">
        <color rgb="FF002060"/>
      </right>
      <top style="mediumDashed">
        <color rgb="FF002060"/>
      </top>
      <bottom style="thick">
        <color rgb="FF00B0F0"/>
      </bottom>
      <diagonal/>
    </border>
    <border>
      <left style="mediumDashed">
        <color rgb="FF002060"/>
      </left>
      <right style="thick">
        <color rgb="FF00B0F0"/>
      </right>
      <top style="mediumDashed">
        <color rgb="FF002060"/>
      </top>
      <bottom style="thick">
        <color rgb="FF00B0F0"/>
      </bottom>
      <diagonal/>
    </border>
    <border>
      <left style="thick">
        <color rgb="FF002060"/>
      </left>
      <right style="mediumDashed">
        <color rgb="FF00B0F0"/>
      </right>
      <top style="thick">
        <color rgb="FF002060"/>
      </top>
      <bottom style="mediumDashed">
        <color rgb="FF00B0F0"/>
      </bottom>
      <diagonal/>
    </border>
    <border>
      <left style="mediumDashed">
        <color rgb="FF00B0F0"/>
      </left>
      <right style="mediumDashed">
        <color rgb="FF00B0F0"/>
      </right>
      <top style="thick">
        <color rgb="FF002060"/>
      </top>
      <bottom style="mediumDashed">
        <color rgb="FF00B0F0"/>
      </bottom>
      <diagonal/>
    </border>
    <border>
      <left style="mediumDashed">
        <color rgb="FF00B0F0"/>
      </left>
      <right style="thick">
        <color rgb="FF002060"/>
      </right>
      <top style="thick">
        <color rgb="FF002060"/>
      </top>
      <bottom style="mediumDashed">
        <color rgb="FF00B0F0"/>
      </bottom>
      <diagonal/>
    </border>
    <border>
      <left style="thick">
        <color rgb="FF002060"/>
      </left>
      <right style="mediumDashed">
        <color rgb="FF00B0F0"/>
      </right>
      <top style="mediumDashed">
        <color rgb="FF00B0F0"/>
      </top>
      <bottom style="mediumDashed">
        <color rgb="FF00B0F0"/>
      </bottom>
      <diagonal/>
    </border>
    <border>
      <left style="mediumDashed">
        <color rgb="FF00B0F0"/>
      </left>
      <right style="thick">
        <color rgb="FF002060"/>
      </right>
      <top style="mediumDashed">
        <color rgb="FF00B0F0"/>
      </top>
      <bottom style="mediumDashed">
        <color rgb="FF00B0F0"/>
      </bottom>
      <diagonal/>
    </border>
    <border>
      <left style="thick">
        <color rgb="FF002060"/>
      </left>
      <right style="mediumDashed">
        <color rgb="FF00B0F0"/>
      </right>
      <top style="mediumDashed">
        <color rgb="FF00B0F0"/>
      </top>
      <bottom style="thick">
        <color rgb="FF002060"/>
      </bottom>
      <diagonal/>
    </border>
    <border>
      <left style="mediumDashed">
        <color rgb="FF00B0F0"/>
      </left>
      <right style="mediumDashed">
        <color rgb="FF00B0F0"/>
      </right>
      <top style="mediumDashed">
        <color rgb="FF00B0F0"/>
      </top>
      <bottom style="thick">
        <color rgb="FF002060"/>
      </bottom>
      <diagonal/>
    </border>
    <border>
      <left style="mediumDashed">
        <color rgb="FF00B0F0"/>
      </left>
      <right style="thick">
        <color rgb="FF002060"/>
      </right>
      <top style="mediumDashed">
        <color rgb="FF00B0F0"/>
      </top>
      <bottom style="thick">
        <color rgb="FF002060"/>
      </bottom>
      <diagonal/>
    </border>
    <border>
      <left style="thick">
        <color rgb="FF002060"/>
      </left>
      <right style="mediumDashed">
        <color rgb="FF00B0F0"/>
      </right>
      <top style="mediumDashed">
        <color rgb="FF00B0F0"/>
      </top>
      <bottom/>
      <diagonal/>
    </border>
    <border>
      <left style="mediumDashed">
        <color rgb="FF00B0F0"/>
      </left>
      <right style="mediumDashed">
        <color rgb="FF00B0F0"/>
      </right>
      <top style="mediumDashed">
        <color rgb="FF00B0F0"/>
      </top>
      <bottom/>
      <diagonal/>
    </border>
    <border>
      <left style="mediumDashed">
        <color rgb="FF00B0F0"/>
      </left>
      <right style="thick">
        <color rgb="FF002060"/>
      </right>
      <top style="mediumDashed">
        <color rgb="FF00B0F0"/>
      </top>
      <bottom/>
      <diagonal/>
    </border>
    <border>
      <left/>
      <right/>
      <top/>
      <bottom style="thin">
        <color indexed="64"/>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0" fontId="18" fillId="0" borderId="0" applyNumberFormat="0" applyFill="0" applyBorder="0" applyAlignment="0" applyProtection="0"/>
  </cellStyleXfs>
  <cellXfs count="283">
    <xf numFmtId="0" fontId="0" fillId="0" borderId="0" xfId="0"/>
    <xf numFmtId="0" fontId="0" fillId="3" borderId="1" xfId="0" applyFill="1" applyBorder="1" applyAlignment="1">
      <alignment horizontal="left" vertical="center" wrapText="1"/>
    </xf>
    <xf numFmtId="0" fontId="0" fillId="3" borderId="1" xfId="0" applyFill="1" applyBorder="1" applyAlignment="1">
      <alignment vertical="center" wrapText="1"/>
    </xf>
    <xf numFmtId="9" fontId="0" fillId="3" borderId="1" xfId="1" applyFont="1" applyFill="1" applyBorder="1" applyAlignment="1">
      <alignment horizontal="center" vertical="center" wrapText="1"/>
    </xf>
    <xf numFmtId="0" fontId="3" fillId="4" borderId="0" xfId="0" applyFont="1" applyFill="1"/>
    <xf numFmtId="0" fontId="0" fillId="4" borderId="0" xfId="0" applyFill="1"/>
    <xf numFmtId="0" fontId="4" fillId="0" borderId="4" xfId="0" applyFont="1" applyBorder="1" applyAlignment="1">
      <alignment vertical="center" wrapText="1"/>
    </xf>
    <xf numFmtId="0" fontId="4" fillId="0" borderId="7" xfId="0" applyFont="1" applyBorder="1" applyAlignment="1">
      <alignment vertical="center" wrapText="1"/>
    </xf>
    <xf numFmtId="0" fontId="7" fillId="5" borderId="8" xfId="0" applyFont="1" applyFill="1" applyBorder="1" applyAlignment="1">
      <alignment vertical="center" wrapText="1" readingOrder="2"/>
    </xf>
    <xf numFmtId="0" fontId="5" fillId="0" borderId="9" xfId="0" applyFont="1" applyBorder="1" applyAlignment="1">
      <alignment vertical="center" wrapText="1"/>
    </xf>
    <xf numFmtId="43" fontId="6" fillId="5" borderId="5" xfId="2" applyFont="1" applyFill="1" applyBorder="1" applyAlignment="1">
      <alignment horizontal="center"/>
    </xf>
    <xf numFmtId="0" fontId="5" fillId="0" borderId="6" xfId="0" applyFont="1" applyBorder="1" applyAlignment="1">
      <alignment vertical="center" wrapText="1"/>
    </xf>
    <xf numFmtId="0" fontId="4" fillId="0" borderId="11" xfId="0" applyFont="1" applyBorder="1" applyAlignment="1">
      <alignment vertical="center" wrapText="1"/>
    </xf>
    <xf numFmtId="0" fontId="5" fillId="0" borderId="6" xfId="0" applyFont="1" applyBorder="1" applyAlignment="1">
      <alignment wrapText="1"/>
    </xf>
    <xf numFmtId="164" fontId="6" fillId="5" borderId="5" xfId="0" applyNumberFormat="1" applyFont="1" applyFill="1" applyBorder="1"/>
    <xf numFmtId="0" fontId="4" fillId="0" borderId="2" xfId="0" applyFont="1" applyBorder="1" applyAlignment="1">
      <alignment vertical="center" wrapText="1"/>
    </xf>
    <xf numFmtId="0" fontId="6" fillId="5" borderId="5" xfId="0" applyFont="1" applyFill="1" applyBorder="1" applyAlignment="1">
      <alignment vertical="center"/>
    </xf>
    <xf numFmtId="43" fontId="0" fillId="4" borderId="0" xfId="2" applyFont="1" applyFill="1"/>
    <xf numFmtId="0" fontId="8" fillId="6" borderId="12" xfId="0" applyFont="1" applyFill="1" applyBorder="1" applyAlignment="1">
      <alignment horizontal="center"/>
    </xf>
    <xf numFmtId="0" fontId="9" fillId="7" borderId="13" xfId="0" applyFont="1" applyFill="1" applyBorder="1"/>
    <xf numFmtId="0" fontId="0" fillId="3" borderId="13" xfId="0" applyFill="1" applyBorder="1" applyAlignment="1">
      <alignment vertical="center" wrapText="1"/>
    </xf>
    <xf numFmtId="9" fontId="0" fillId="3" borderId="13" xfId="1" applyFont="1" applyFill="1" applyBorder="1" applyAlignment="1">
      <alignment horizontal="center" vertical="center" wrapText="1"/>
    </xf>
    <xf numFmtId="0" fontId="9" fillId="7" borderId="1" xfId="0" applyFont="1" applyFill="1" applyBorder="1"/>
    <xf numFmtId="0" fontId="11" fillId="3" borderId="1" xfId="0" applyFont="1" applyFill="1" applyBorder="1" applyAlignment="1">
      <alignment horizontal="left" vertical="center" wrapText="1"/>
    </xf>
    <xf numFmtId="0" fontId="0" fillId="3" borderId="14" xfId="0" applyFill="1" applyBorder="1" applyAlignment="1">
      <alignment vertical="center" wrapText="1"/>
    </xf>
    <xf numFmtId="9" fontId="0" fillId="3" borderId="14" xfId="1" applyFont="1" applyFill="1" applyBorder="1" applyAlignment="1">
      <alignment horizontal="center" vertical="center" wrapText="1"/>
    </xf>
    <xf numFmtId="0" fontId="12" fillId="7" borderId="1" xfId="0" applyFont="1" applyFill="1" applyBorder="1"/>
    <xf numFmtId="0" fontId="11" fillId="3" borderId="1" xfId="0" applyFont="1" applyFill="1" applyBorder="1" applyAlignment="1">
      <alignment vertical="center" wrapText="1"/>
    </xf>
    <xf numFmtId="0" fontId="9" fillId="7" borderId="15" xfId="0" applyFont="1" applyFill="1" applyBorder="1"/>
    <xf numFmtId="9" fontId="0" fillId="3" borderId="15" xfId="1" applyFont="1" applyFill="1" applyBorder="1" applyAlignment="1">
      <alignment horizontal="center" vertical="center" wrapText="1"/>
    </xf>
    <xf numFmtId="0" fontId="4" fillId="4" borderId="0" xfId="0" applyFont="1" applyFill="1" applyAlignment="1">
      <alignment horizontal="center" vertical="center" wrapText="1"/>
    </xf>
    <xf numFmtId="14" fontId="6" fillId="4" borderId="0" xfId="0" applyNumberFormat="1" applyFont="1" applyFill="1" applyAlignment="1">
      <alignment horizontal="left" vertical="center"/>
    </xf>
    <xf numFmtId="0" fontId="4" fillId="4" borderId="0" xfId="0" applyFont="1" applyFill="1" applyAlignment="1">
      <alignment horizontal="right" vertical="center" wrapText="1"/>
    </xf>
    <xf numFmtId="0" fontId="0" fillId="4" borderId="6" xfId="0" applyFill="1" applyBorder="1"/>
    <xf numFmtId="0" fontId="0" fillId="4" borderId="5" xfId="0" applyFill="1" applyBorder="1"/>
    <xf numFmtId="0" fontId="4" fillId="4" borderId="0" xfId="0" applyFont="1" applyFill="1" applyAlignment="1">
      <alignment vertical="center" wrapText="1"/>
    </xf>
    <xf numFmtId="0" fontId="12" fillId="10" borderId="12" xfId="0" applyFont="1" applyFill="1" applyBorder="1" applyAlignment="1">
      <alignment horizontal="center"/>
    </xf>
    <xf numFmtId="0" fontId="8" fillId="6" borderId="21" xfId="0" applyFont="1" applyFill="1" applyBorder="1" applyAlignment="1">
      <alignment horizontal="center"/>
    </xf>
    <xf numFmtId="0" fontId="9" fillId="7" borderId="22" xfId="0" applyFont="1" applyFill="1" applyBorder="1"/>
    <xf numFmtId="9" fontId="0" fillId="3" borderId="23" xfId="1" applyFont="1" applyFill="1" applyBorder="1" applyAlignment="1">
      <alignment horizontal="center" vertical="center" wrapText="1"/>
    </xf>
    <xf numFmtId="0" fontId="0" fillId="3" borderId="24" xfId="0" applyFill="1" applyBorder="1" applyAlignment="1">
      <alignment vertical="center" wrapText="1"/>
    </xf>
    <xf numFmtId="0" fontId="9" fillId="12" borderId="22" xfId="0" applyFont="1" applyFill="1" applyBorder="1"/>
    <xf numFmtId="0" fontId="9" fillId="12" borderId="1" xfId="0" applyFont="1" applyFill="1" applyBorder="1"/>
    <xf numFmtId="0" fontId="0" fillId="12" borderId="1" xfId="0" applyFill="1" applyBorder="1" applyAlignment="1">
      <alignment vertical="center" wrapText="1"/>
    </xf>
    <xf numFmtId="9" fontId="0" fillId="12" borderId="1" xfId="1" applyFont="1" applyFill="1" applyBorder="1" applyAlignment="1">
      <alignment horizontal="center" vertical="center" wrapText="1"/>
    </xf>
    <xf numFmtId="0" fontId="0" fillId="12" borderId="24" xfId="0" applyFill="1" applyBorder="1" applyAlignment="1">
      <alignment vertical="center" wrapText="1"/>
    </xf>
    <xf numFmtId="0" fontId="1" fillId="2" borderId="22" xfId="0" applyFont="1" applyFill="1" applyBorder="1" applyAlignment="1">
      <alignment vertical="center" wrapText="1"/>
    </xf>
    <xf numFmtId="9" fontId="0" fillId="10" borderId="1" xfId="1" applyFont="1" applyFill="1" applyBorder="1" applyAlignment="1">
      <alignment horizontal="center" vertical="center" wrapText="1"/>
    </xf>
    <xf numFmtId="0" fontId="19" fillId="13" borderId="1" xfId="0" applyFont="1" applyFill="1" applyBorder="1" applyAlignment="1">
      <alignment horizontal="left" vertical="center" wrapText="1"/>
    </xf>
    <xf numFmtId="0" fontId="1" fillId="2" borderId="26" xfId="0" applyFont="1" applyFill="1" applyBorder="1" applyAlignment="1">
      <alignment vertical="center" wrapText="1"/>
    </xf>
    <xf numFmtId="0" fontId="9" fillId="7" borderId="26" xfId="0" applyFont="1" applyFill="1" applyBorder="1"/>
    <xf numFmtId="0" fontId="0" fillId="3" borderId="28" xfId="0" applyFill="1" applyBorder="1" applyAlignment="1">
      <alignment vertical="center" wrapText="1"/>
    </xf>
    <xf numFmtId="0" fontId="1" fillId="11" borderId="22" xfId="0" applyFont="1" applyFill="1" applyBorder="1" applyAlignment="1">
      <alignment vertical="center" wrapText="1"/>
    </xf>
    <xf numFmtId="0" fontId="1" fillId="2" borderId="29" xfId="0" applyFont="1" applyFill="1" applyBorder="1" applyAlignment="1">
      <alignment vertical="center" wrapText="1"/>
    </xf>
    <xf numFmtId="0" fontId="9" fillId="7" borderId="29" xfId="0" applyFont="1" applyFill="1" applyBorder="1"/>
    <xf numFmtId="0" fontId="0" fillId="3" borderId="30" xfId="0" applyFill="1" applyBorder="1" applyAlignment="1">
      <alignment vertical="center" wrapText="1"/>
    </xf>
    <xf numFmtId="2" fontId="9" fillId="7" borderId="13" xfId="0" applyNumberFormat="1" applyFont="1" applyFill="1" applyBorder="1"/>
    <xf numFmtId="0" fontId="20" fillId="2" borderId="22" xfId="0" applyFont="1" applyFill="1" applyBorder="1" applyAlignment="1">
      <alignment vertical="center" wrapText="1"/>
    </xf>
    <xf numFmtId="0" fontId="12" fillId="7" borderId="22" xfId="0" applyFont="1" applyFill="1" applyBorder="1"/>
    <xf numFmtId="0" fontId="12" fillId="7" borderId="13" xfId="0" applyFont="1" applyFill="1" applyBorder="1"/>
    <xf numFmtId="0" fontId="19" fillId="3" borderId="1" xfId="0" applyFont="1" applyFill="1" applyBorder="1" applyAlignment="1">
      <alignment vertical="center" wrapText="1"/>
    </xf>
    <xf numFmtId="9" fontId="19" fillId="3" borderId="1" xfId="1" applyFont="1" applyFill="1" applyBorder="1" applyAlignment="1">
      <alignment horizontal="center" vertical="center" wrapText="1"/>
    </xf>
    <xf numFmtId="0" fontId="19" fillId="3" borderId="24" xfId="0" applyFont="1" applyFill="1" applyBorder="1" applyAlignment="1">
      <alignment vertical="center" wrapText="1"/>
    </xf>
    <xf numFmtId="0" fontId="19" fillId="0" borderId="0" xfId="0" applyFont="1"/>
    <xf numFmtId="0" fontId="19" fillId="14" borderId="1" xfId="0" applyFont="1" applyFill="1" applyBorder="1" applyAlignment="1">
      <alignment vertical="center" wrapText="1"/>
    </xf>
    <xf numFmtId="0" fontId="10" fillId="14" borderId="1" xfId="0" applyFont="1" applyFill="1" applyBorder="1" applyAlignment="1">
      <alignment vertical="center" wrapText="1"/>
    </xf>
    <xf numFmtId="9" fontId="0" fillId="5" borderId="27" xfId="1" applyFont="1" applyFill="1" applyBorder="1" applyAlignment="1">
      <alignment horizontal="center" vertical="center" wrapText="1"/>
    </xf>
    <xf numFmtId="10" fontId="0" fillId="3" borderId="27" xfId="1" applyNumberFormat="1" applyFont="1" applyFill="1" applyBorder="1" applyAlignment="1">
      <alignment horizontal="center" vertical="center" wrapText="1"/>
    </xf>
    <xf numFmtId="9" fontId="8" fillId="6" borderId="12" xfId="1" applyFont="1" applyFill="1" applyBorder="1" applyAlignment="1">
      <alignment horizontal="center"/>
    </xf>
    <xf numFmtId="9" fontId="19" fillId="14" borderId="1" xfId="1" applyFont="1" applyFill="1" applyBorder="1" applyAlignment="1">
      <alignment horizontal="center" vertical="center" wrapText="1"/>
    </xf>
    <xf numFmtId="9" fontId="0" fillId="0" borderId="0" xfId="1" applyFont="1" applyAlignment="1">
      <alignment horizontal="center"/>
    </xf>
    <xf numFmtId="0" fontId="9" fillId="7" borderId="13" xfId="0" applyFont="1" applyFill="1" applyBorder="1" applyAlignment="1">
      <alignment horizontal="center"/>
    </xf>
    <xf numFmtId="0" fontId="0" fillId="0" borderId="0" xfId="0" applyAlignment="1">
      <alignment horizontal="center"/>
    </xf>
    <xf numFmtId="0" fontId="19" fillId="10" borderId="1" xfId="0" applyFont="1" applyFill="1" applyBorder="1" applyAlignment="1">
      <alignment vertical="center" wrapText="1"/>
    </xf>
    <xf numFmtId="14" fontId="9" fillId="7" borderId="26" xfId="0" applyNumberFormat="1" applyFont="1" applyFill="1" applyBorder="1"/>
    <xf numFmtId="14" fontId="9" fillId="7" borderId="31" xfId="0" applyNumberFormat="1" applyFont="1" applyFill="1" applyBorder="1"/>
    <xf numFmtId="0" fontId="1" fillId="16" borderId="22" xfId="0" applyFont="1" applyFill="1" applyBorder="1" applyAlignment="1">
      <alignment vertical="center" wrapText="1"/>
    </xf>
    <xf numFmtId="0" fontId="9" fillId="15" borderId="22" xfId="0" applyFont="1" applyFill="1" applyBorder="1"/>
    <xf numFmtId="0" fontId="9" fillId="15" borderId="1" xfId="0" applyFont="1" applyFill="1" applyBorder="1"/>
    <xf numFmtId="0" fontId="9" fillId="16" borderId="22" xfId="0" applyFont="1" applyFill="1" applyBorder="1"/>
    <xf numFmtId="0" fontId="9" fillId="16" borderId="1" xfId="0" applyFont="1" applyFill="1" applyBorder="1"/>
    <xf numFmtId="0" fontId="0" fillId="3" borderId="15" xfId="0" applyFill="1" applyBorder="1" applyAlignment="1">
      <alignment vertical="center" wrapText="1"/>
    </xf>
    <xf numFmtId="0" fontId="0" fillId="3" borderId="15" xfId="0" applyFill="1" applyBorder="1" applyAlignment="1">
      <alignment horizontal="left" vertical="center" wrapText="1"/>
    </xf>
    <xf numFmtId="9" fontId="19" fillId="10" borderId="23" xfId="1" applyFont="1" applyFill="1" applyBorder="1" applyAlignment="1">
      <alignment horizontal="center" vertical="center" wrapText="1"/>
    </xf>
    <xf numFmtId="9" fontId="0" fillId="3" borderId="27" xfId="1" applyFont="1" applyFill="1" applyBorder="1" applyAlignment="1">
      <alignment horizontal="center" vertical="center" wrapText="1"/>
    </xf>
    <xf numFmtId="9" fontId="19" fillId="14" borderId="27" xfId="1" applyFont="1" applyFill="1" applyBorder="1" applyAlignment="1">
      <alignment horizontal="center" vertical="center" wrapText="1"/>
    </xf>
    <xf numFmtId="9" fontId="19" fillId="10" borderId="27" xfId="1" applyFont="1" applyFill="1" applyBorder="1" applyAlignment="1">
      <alignment horizontal="center" vertical="center" wrapText="1"/>
    </xf>
    <xf numFmtId="10" fontId="0" fillId="3" borderId="27" xfId="1" applyNumberFormat="1" applyFont="1" applyFill="1" applyBorder="1" applyAlignment="1">
      <alignment horizontal="right" vertical="center" wrapText="1" readingOrder="2"/>
    </xf>
    <xf numFmtId="0" fontId="8" fillId="6" borderId="12" xfId="0" applyFont="1" applyFill="1" applyBorder="1" applyAlignment="1">
      <alignment horizontal="center" readingOrder="2"/>
    </xf>
    <xf numFmtId="166" fontId="0" fillId="4" borderId="0" xfId="0" applyNumberFormat="1" applyFill="1"/>
    <xf numFmtId="168" fontId="6" fillId="5" borderId="5" xfId="1" applyNumberFormat="1" applyFont="1" applyFill="1" applyBorder="1" applyAlignment="1">
      <alignment horizontal="center"/>
    </xf>
    <xf numFmtId="14" fontId="6" fillId="5" borderId="5" xfId="2" applyNumberFormat="1" applyFont="1" applyFill="1" applyBorder="1" applyAlignment="1">
      <alignment horizontal="center"/>
    </xf>
    <xf numFmtId="2" fontId="6" fillId="5" borderId="5" xfId="2" applyNumberFormat="1" applyFont="1" applyFill="1" applyBorder="1" applyAlignment="1">
      <alignment horizontal="center"/>
    </xf>
    <xf numFmtId="43" fontId="6" fillId="5" borderId="5" xfId="2" applyFont="1" applyFill="1" applyBorder="1" applyAlignment="1">
      <alignment horizontal="center" vertical="center"/>
    </xf>
    <xf numFmtId="43" fontId="0" fillId="4" borderId="0" xfId="0" applyNumberFormat="1" applyFill="1"/>
    <xf numFmtId="0" fontId="4" fillId="0" borderId="32" xfId="0" applyFont="1" applyBorder="1" applyAlignment="1">
      <alignment vertical="center" wrapText="1"/>
    </xf>
    <xf numFmtId="43" fontId="6" fillId="5" borderId="17" xfId="2" applyFont="1" applyFill="1" applyBorder="1" applyAlignment="1">
      <alignment horizontal="center"/>
    </xf>
    <xf numFmtId="0" fontId="21" fillId="4" borderId="18" xfId="0" applyFont="1" applyFill="1" applyBorder="1" applyAlignment="1">
      <alignment horizontal="center"/>
    </xf>
    <xf numFmtId="43" fontId="0" fillId="4" borderId="16" xfId="0" applyNumberFormat="1" applyFill="1" applyBorder="1"/>
    <xf numFmtId="0" fontId="4" fillId="0" borderId="33" xfId="0" applyFont="1" applyBorder="1" applyAlignment="1">
      <alignment vertical="center" wrapText="1"/>
    </xf>
    <xf numFmtId="43" fontId="6" fillId="5" borderId="16" xfId="2" applyFont="1" applyFill="1" applyBorder="1" applyAlignment="1">
      <alignment horizontal="center" vertical="center"/>
    </xf>
    <xf numFmtId="0" fontId="21" fillId="4" borderId="19" xfId="0" applyFont="1" applyFill="1" applyBorder="1" applyAlignment="1">
      <alignment horizontal="center"/>
    </xf>
    <xf numFmtId="43" fontId="0" fillId="4" borderId="20" xfId="0" applyNumberFormat="1" applyFill="1" applyBorder="1"/>
    <xf numFmtId="10" fontId="0" fillId="3" borderId="34" xfId="1" applyNumberFormat="1" applyFont="1" applyFill="1" applyBorder="1" applyAlignment="1">
      <alignment horizontal="center" vertical="center" wrapText="1"/>
    </xf>
    <xf numFmtId="170" fontId="0" fillId="3" borderId="1" xfId="1" applyNumberFormat="1" applyFont="1" applyFill="1" applyBorder="1" applyAlignment="1">
      <alignment horizontal="center" vertical="center" wrapText="1"/>
    </xf>
    <xf numFmtId="171" fontId="0" fillId="3" borderId="24" xfId="1" applyNumberFormat="1" applyFont="1" applyFill="1" applyBorder="1" applyAlignment="1">
      <alignment vertical="center" wrapText="1"/>
    </xf>
    <xf numFmtId="0" fontId="0" fillId="4" borderId="37" xfId="0" applyFill="1" applyBorder="1"/>
    <xf numFmtId="0" fontId="0" fillId="4" borderId="38" xfId="0" applyFill="1" applyBorder="1"/>
    <xf numFmtId="0" fontId="16" fillId="4" borderId="44" xfId="0" applyFont="1" applyFill="1" applyBorder="1" applyAlignment="1">
      <alignment vertical="center" wrapText="1"/>
    </xf>
    <xf numFmtId="0" fontId="16" fillId="4" borderId="45" xfId="0" applyFont="1" applyFill="1" applyBorder="1" applyAlignment="1">
      <alignment vertical="center" wrapText="1"/>
    </xf>
    <xf numFmtId="0" fontId="1" fillId="18" borderId="22" xfId="0" applyFont="1" applyFill="1" applyBorder="1" applyAlignment="1">
      <alignment vertical="center" wrapText="1"/>
    </xf>
    <xf numFmtId="0" fontId="1" fillId="18" borderId="25" xfId="0" applyFont="1" applyFill="1" applyBorder="1" applyAlignment="1">
      <alignment vertical="center" wrapText="1"/>
    </xf>
    <xf numFmtId="169" fontId="25" fillId="7" borderId="5" xfId="0" applyNumberFormat="1" applyFont="1" applyFill="1" applyBorder="1"/>
    <xf numFmtId="165" fontId="0" fillId="4" borderId="0" xfId="0" applyNumberFormat="1" applyFill="1"/>
    <xf numFmtId="0" fontId="16" fillId="4" borderId="38" xfId="0" applyFont="1" applyFill="1" applyBorder="1" applyAlignment="1">
      <alignment vertical="center" wrapText="1"/>
    </xf>
    <xf numFmtId="0" fontId="16" fillId="4" borderId="39" xfId="0" applyFont="1" applyFill="1" applyBorder="1" applyAlignment="1">
      <alignment vertical="center" wrapText="1"/>
    </xf>
    <xf numFmtId="0" fontId="24" fillId="4" borderId="0" xfId="0" applyFont="1" applyFill="1" applyAlignment="1">
      <alignment horizontal="left" vertical="center" wrapText="1"/>
    </xf>
    <xf numFmtId="0" fontId="13" fillId="3" borderId="0" xfId="0" applyFont="1" applyFill="1" applyAlignment="1">
      <alignment horizontal="center" vertical="center" wrapText="1"/>
    </xf>
    <xf numFmtId="164" fontId="6" fillId="5" borderId="0" xfId="0" applyNumberFormat="1" applyFont="1" applyFill="1"/>
    <xf numFmtId="0" fontId="6" fillId="5" borderId="0" xfId="0" applyFont="1" applyFill="1" applyAlignment="1">
      <alignment vertical="center"/>
    </xf>
    <xf numFmtId="43" fontId="6" fillId="5" borderId="0" xfId="2" applyFont="1" applyFill="1" applyBorder="1" applyAlignment="1">
      <alignment horizontal="center"/>
    </xf>
    <xf numFmtId="14" fontId="6" fillId="5" borderId="0" xfId="2" applyNumberFormat="1" applyFont="1" applyFill="1" applyBorder="1" applyAlignment="1">
      <alignment horizontal="center"/>
    </xf>
    <xf numFmtId="2" fontId="6" fillId="5" borderId="0" xfId="2" applyNumberFormat="1" applyFont="1" applyFill="1" applyBorder="1" applyAlignment="1">
      <alignment horizontal="center"/>
    </xf>
    <xf numFmtId="168" fontId="6" fillId="5" borderId="0" xfId="1" applyNumberFormat="1" applyFont="1" applyFill="1" applyBorder="1" applyAlignment="1">
      <alignment horizontal="center"/>
    </xf>
    <xf numFmtId="43" fontId="6" fillId="5" borderId="0" xfId="2" applyFont="1" applyFill="1" applyBorder="1" applyAlignment="1">
      <alignment horizontal="center" vertical="center"/>
    </xf>
    <xf numFmtId="0" fontId="7" fillId="5" borderId="0" xfId="0" applyFont="1" applyFill="1" applyAlignment="1">
      <alignment vertical="center" wrapText="1" readingOrder="2"/>
    </xf>
    <xf numFmtId="165" fontId="4" fillId="0" borderId="0" xfId="0" applyNumberFormat="1" applyFont="1" applyAlignment="1">
      <alignment vertical="center" wrapText="1"/>
    </xf>
    <xf numFmtId="43" fontId="6" fillId="5" borderId="0" xfId="2" applyFont="1" applyFill="1" applyBorder="1" applyAlignment="1">
      <alignment vertical="center"/>
    </xf>
    <xf numFmtId="0" fontId="24" fillId="4" borderId="0" xfId="0" applyFont="1" applyFill="1" applyAlignment="1">
      <alignment vertical="center" wrapText="1"/>
    </xf>
    <xf numFmtId="0" fontId="7" fillId="4" borderId="0" xfId="0" applyFont="1" applyFill="1" applyAlignment="1">
      <alignment horizontal="right" vertical="center" wrapText="1"/>
    </xf>
    <xf numFmtId="43" fontId="15" fillId="8" borderId="50" xfId="2" applyFont="1" applyFill="1" applyBorder="1" applyAlignment="1">
      <alignment horizontal="left" vertical="top"/>
    </xf>
    <xf numFmtId="9" fontId="15" fillId="8" borderId="50" xfId="1" applyFont="1" applyFill="1" applyBorder="1" applyAlignment="1">
      <alignment horizontal="left" vertical="center" wrapText="1"/>
    </xf>
    <xf numFmtId="9" fontId="15" fillId="8" borderId="51" xfId="1" applyFont="1" applyFill="1" applyBorder="1" applyAlignment="1">
      <alignment horizontal="left" vertical="top" wrapText="1"/>
    </xf>
    <xf numFmtId="0" fontId="4" fillId="4" borderId="40" xfId="0" applyFont="1" applyFill="1" applyBorder="1" applyAlignment="1">
      <alignment vertical="center" wrapText="1"/>
    </xf>
    <xf numFmtId="0" fontId="5" fillId="4" borderId="65" xfId="0" applyFont="1" applyFill="1" applyBorder="1" applyAlignment="1">
      <alignment vertical="center" wrapText="1"/>
    </xf>
    <xf numFmtId="164" fontId="6" fillId="13" borderId="5" xfId="0" applyNumberFormat="1" applyFont="1" applyFill="1" applyBorder="1"/>
    <xf numFmtId="14" fontId="6" fillId="13" borderId="5" xfId="2" applyNumberFormat="1" applyFont="1" applyFill="1" applyBorder="1" applyAlignment="1">
      <alignment horizontal="center"/>
    </xf>
    <xf numFmtId="10" fontId="0" fillId="3" borderId="27" xfId="1" applyNumberFormat="1" applyFont="1" applyFill="1" applyBorder="1" applyAlignment="1">
      <alignment horizontal="left" vertical="center" wrapText="1" readingOrder="1"/>
    </xf>
    <xf numFmtId="0" fontId="4" fillId="0" borderId="18" xfId="0" applyFont="1" applyBorder="1" applyAlignment="1">
      <alignment vertical="center" wrapText="1"/>
    </xf>
    <xf numFmtId="0" fontId="0" fillId="4" borderId="18" xfId="0" applyFill="1" applyBorder="1"/>
    <xf numFmtId="0" fontId="0" fillId="4" borderId="16" xfId="0" applyFill="1" applyBorder="1"/>
    <xf numFmtId="10" fontId="0" fillId="3" borderId="27" xfId="1" applyNumberFormat="1" applyFont="1" applyFill="1" applyBorder="1" applyAlignment="1">
      <alignment horizontal="left" vertical="center" wrapText="1"/>
    </xf>
    <xf numFmtId="10" fontId="0" fillId="10" borderId="27" xfId="1" applyNumberFormat="1" applyFont="1" applyFill="1" applyBorder="1" applyAlignment="1">
      <alignment horizontal="right" vertical="center" wrapText="1" readingOrder="2"/>
    </xf>
    <xf numFmtId="10" fontId="0" fillId="10" borderId="27" xfId="1" applyNumberFormat="1" applyFont="1" applyFill="1" applyBorder="1" applyAlignment="1">
      <alignment horizontal="left" vertical="center" wrapText="1" readingOrder="1"/>
    </xf>
    <xf numFmtId="10" fontId="0" fillId="19" borderId="27" xfId="1" applyNumberFormat="1" applyFont="1" applyFill="1" applyBorder="1" applyAlignment="1">
      <alignment horizontal="right" vertical="center" wrapText="1" readingOrder="2"/>
    </xf>
    <xf numFmtId="10" fontId="0" fillId="19" borderId="27" xfId="1" applyNumberFormat="1" applyFont="1" applyFill="1" applyBorder="1" applyAlignment="1">
      <alignment horizontal="left" vertical="center" wrapText="1" readingOrder="1"/>
    </xf>
    <xf numFmtId="43" fontId="33" fillId="17" borderId="0" xfId="2" applyFont="1" applyFill="1" applyBorder="1" applyAlignment="1">
      <alignment horizontal="left" vertical="top"/>
    </xf>
    <xf numFmtId="169" fontId="33" fillId="17" borderId="0" xfId="2" applyNumberFormat="1" applyFont="1" applyFill="1" applyBorder="1" applyAlignment="1">
      <alignment horizontal="right" vertical="top"/>
    </xf>
    <xf numFmtId="0" fontId="13" fillId="4" borderId="64" xfId="0" applyFont="1" applyFill="1" applyBorder="1" applyAlignment="1">
      <alignment vertical="center" wrapText="1"/>
    </xf>
    <xf numFmtId="0" fontId="13" fillId="4" borderId="65" xfId="0" applyFont="1" applyFill="1" applyBorder="1" applyAlignment="1">
      <alignment vertical="center" wrapText="1"/>
    </xf>
    <xf numFmtId="0" fontId="21" fillId="0" borderId="0" xfId="0" applyFont="1"/>
    <xf numFmtId="43" fontId="0" fillId="0" borderId="0" xfId="2" applyFont="1"/>
    <xf numFmtId="2" fontId="0" fillId="0" borderId="0" xfId="0" applyNumberFormat="1"/>
    <xf numFmtId="43" fontId="0" fillId="0" borderId="0" xfId="0" applyNumberFormat="1"/>
    <xf numFmtId="2" fontId="0" fillId="4" borderId="0" xfId="0" applyNumberFormat="1" applyFill="1"/>
    <xf numFmtId="0" fontId="36" fillId="20" borderId="21" xfId="0" applyFont="1" applyFill="1" applyBorder="1" applyAlignment="1">
      <alignment vertical="center" wrapText="1"/>
    </xf>
    <xf numFmtId="0" fontId="36" fillId="20" borderId="68" xfId="0" applyFont="1" applyFill="1" applyBorder="1" applyAlignment="1">
      <alignment vertical="center" wrapText="1"/>
    </xf>
    <xf numFmtId="0" fontId="19" fillId="15" borderId="1" xfId="0" applyFont="1" applyFill="1" applyBorder="1" applyAlignment="1">
      <alignment vertical="center" wrapText="1"/>
    </xf>
    <xf numFmtId="0" fontId="0" fillId="15" borderId="1" xfId="0" applyFill="1" applyBorder="1" applyAlignment="1">
      <alignment vertical="center" wrapText="1"/>
    </xf>
    <xf numFmtId="0" fontId="0" fillId="15" borderId="1" xfId="0" applyFill="1" applyBorder="1" applyAlignment="1">
      <alignment horizontal="left" vertical="center" wrapText="1"/>
    </xf>
    <xf numFmtId="168" fontId="33" fillId="17" borderId="46" xfId="1" applyNumberFormat="1" applyFont="1" applyFill="1" applyBorder="1" applyAlignment="1">
      <alignment horizontal="right" vertical="top"/>
    </xf>
    <xf numFmtId="10" fontId="0" fillId="15" borderId="27" xfId="1" applyNumberFormat="1" applyFont="1" applyFill="1" applyBorder="1" applyAlignment="1">
      <alignment horizontal="right" vertical="center" wrapText="1" readingOrder="2"/>
    </xf>
    <xf numFmtId="0" fontId="0" fillId="15" borderId="13" xfId="0" applyFill="1" applyBorder="1" applyAlignment="1">
      <alignment vertical="center" wrapText="1"/>
    </xf>
    <xf numFmtId="172" fontId="0" fillId="4" borderId="0" xfId="0" applyNumberFormat="1" applyFill="1"/>
    <xf numFmtId="0" fontId="0" fillId="21" borderId="13" xfId="0" applyFill="1" applyBorder="1" applyAlignment="1">
      <alignment vertical="center" wrapText="1"/>
    </xf>
    <xf numFmtId="0" fontId="0" fillId="21" borderId="13" xfId="0" applyFill="1" applyBorder="1" applyAlignment="1">
      <alignment horizontal="left" vertical="center" wrapText="1"/>
    </xf>
    <xf numFmtId="0" fontId="17" fillId="4" borderId="38" xfId="0" applyFont="1" applyFill="1" applyBorder="1" applyAlignment="1">
      <alignment vertical="center" wrapText="1"/>
    </xf>
    <xf numFmtId="0" fontId="13" fillId="4" borderId="44" xfId="0" applyFont="1" applyFill="1" applyBorder="1" applyAlignment="1">
      <alignment vertical="center" wrapText="1"/>
    </xf>
    <xf numFmtId="166" fontId="37" fillId="0" borderId="48" xfId="0" applyNumberFormat="1" applyFont="1" applyBorder="1" applyAlignment="1">
      <alignment vertical="center" wrapText="1"/>
    </xf>
    <xf numFmtId="43" fontId="38" fillId="7" borderId="0" xfId="2" applyFont="1" applyFill="1" applyBorder="1" applyAlignment="1">
      <alignment horizontal="left" vertical="top"/>
    </xf>
    <xf numFmtId="43" fontId="15" fillId="4" borderId="50" xfId="2" applyFont="1" applyFill="1" applyBorder="1" applyAlignment="1">
      <alignment vertical="top"/>
    </xf>
    <xf numFmtId="0" fontId="22" fillId="4" borderId="42" xfId="0" applyFont="1" applyFill="1" applyBorder="1" applyAlignment="1">
      <alignment vertical="center" wrapText="1"/>
    </xf>
    <xf numFmtId="0" fontId="22" fillId="4" borderId="43" xfId="0" applyFont="1" applyFill="1" applyBorder="1" applyAlignment="1">
      <alignment vertical="center" wrapText="1"/>
    </xf>
    <xf numFmtId="0" fontId="13" fillId="4" borderId="42" xfId="0" applyFont="1" applyFill="1" applyBorder="1" applyAlignment="1">
      <alignment vertical="center" wrapText="1"/>
    </xf>
    <xf numFmtId="10" fontId="0" fillId="3" borderId="27" xfId="1" applyNumberFormat="1" applyFont="1" applyFill="1" applyBorder="1" applyAlignment="1">
      <alignment vertical="center" wrapText="1"/>
    </xf>
    <xf numFmtId="173" fontId="40" fillId="4" borderId="69" xfId="0" applyNumberFormat="1" applyFont="1" applyFill="1" applyBorder="1" applyAlignment="1">
      <alignment horizontal="center" vertical="center"/>
    </xf>
    <xf numFmtId="174" fontId="33" fillId="17" borderId="0" xfId="2" applyNumberFormat="1" applyFont="1" applyFill="1" applyBorder="1" applyAlignment="1">
      <alignment horizontal="left" vertical="top"/>
    </xf>
    <xf numFmtId="174" fontId="37" fillId="22" borderId="0" xfId="2" applyNumberFormat="1" applyFont="1" applyFill="1" applyBorder="1" applyAlignment="1">
      <alignment horizontal="left" vertical="top"/>
    </xf>
    <xf numFmtId="167" fontId="41" fillId="8" borderId="49" xfId="0" applyNumberFormat="1" applyFont="1" applyFill="1" applyBorder="1" applyAlignment="1">
      <alignment vertical="center" wrapText="1"/>
    </xf>
    <xf numFmtId="0" fontId="34" fillId="4" borderId="43" xfId="0" applyFont="1" applyFill="1" applyBorder="1" applyAlignment="1">
      <alignment vertical="center" wrapText="1"/>
    </xf>
    <xf numFmtId="0" fontId="34" fillId="4" borderId="41" xfId="0" applyFont="1" applyFill="1" applyBorder="1" applyAlignment="1">
      <alignment vertical="center" wrapText="1"/>
    </xf>
    <xf numFmtId="0" fontId="42" fillId="4" borderId="0" xfId="0" applyFont="1" applyFill="1"/>
    <xf numFmtId="0" fontId="45" fillId="4" borderId="0" xfId="0" applyFont="1" applyFill="1" applyAlignment="1">
      <alignment horizontal="center" vertical="center" wrapText="1"/>
    </xf>
    <xf numFmtId="166" fontId="17" fillId="4" borderId="0" xfId="0" applyNumberFormat="1" applyFont="1" applyFill="1" applyAlignment="1" applyProtection="1">
      <alignment horizontal="left" vertical="center" wrapText="1"/>
      <protection hidden="1"/>
    </xf>
    <xf numFmtId="0" fontId="50" fillId="0" borderId="0" xfId="0" applyFont="1" applyAlignment="1">
      <alignment horizontal="center"/>
    </xf>
    <xf numFmtId="14" fontId="15" fillId="4" borderId="50" xfId="2" applyNumberFormat="1" applyFont="1" applyFill="1" applyBorder="1" applyAlignment="1">
      <alignment horizontal="left" vertical="top"/>
    </xf>
    <xf numFmtId="0" fontId="17" fillId="4" borderId="0" xfId="0" applyFont="1" applyFill="1" applyAlignment="1">
      <alignment horizontal="right" vertical="center" wrapText="1"/>
    </xf>
    <xf numFmtId="0" fontId="17" fillId="4" borderId="0" xfId="0" applyFont="1" applyFill="1" applyAlignment="1">
      <alignment horizontal="left" vertical="center" wrapText="1"/>
    </xf>
    <xf numFmtId="168" fontId="6" fillId="5" borderId="16" xfId="1" applyNumberFormat="1" applyFont="1" applyFill="1" applyBorder="1" applyAlignment="1">
      <alignment horizontal="center" vertical="center"/>
    </xf>
    <xf numFmtId="43" fontId="39" fillId="8" borderId="50" xfId="2" applyFont="1" applyFill="1" applyBorder="1" applyAlignment="1">
      <alignment horizontal="left" vertical="center" wrapText="1"/>
    </xf>
    <xf numFmtId="0" fontId="46" fillId="4" borderId="53" xfId="0" applyFont="1" applyFill="1" applyBorder="1" applyAlignment="1">
      <alignment wrapText="1"/>
    </xf>
    <xf numFmtId="166" fontId="56" fillId="4" borderId="53" xfId="0" applyNumberFormat="1" applyFont="1" applyFill="1" applyBorder="1" applyAlignment="1" applyProtection="1">
      <alignment vertical="center" wrapText="1"/>
      <protection hidden="1"/>
    </xf>
    <xf numFmtId="43" fontId="43" fillId="4" borderId="53" xfId="2" applyFont="1" applyFill="1" applyBorder="1" applyAlignment="1" applyProtection="1">
      <alignment horizontal="center"/>
      <protection locked="0"/>
    </xf>
    <xf numFmtId="0" fontId="27" fillId="4" borderId="0" xfId="0" applyFont="1" applyFill="1" applyAlignment="1">
      <alignment vertical="center" wrapText="1"/>
    </xf>
    <xf numFmtId="0" fontId="26" fillId="4" borderId="0" xfId="0" applyFont="1" applyFill="1" applyAlignment="1" applyProtection="1">
      <alignment vertical="center" wrapText="1"/>
      <protection hidden="1"/>
    </xf>
    <xf numFmtId="14" fontId="49" fillId="17" borderId="70" xfId="0" applyNumberFormat="1" applyFont="1" applyFill="1" applyBorder="1" applyAlignment="1">
      <alignment horizontal="center" vertical="center"/>
    </xf>
    <xf numFmtId="166" fontId="52" fillId="22" borderId="70" xfId="0" applyNumberFormat="1" applyFont="1" applyFill="1" applyBorder="1" applyAlignment="1">
      <alignment horizontal="center" vertical="center" wrapText="1"/>
    </xf>
    <xf numFmtId="0" fontId="7" fillId="4" borderId="72" xfId="0" applyFont="1" applyFill="1" applyBorder="1" applyAlignment="1">
      <alignment vertical="center" wrapText="1"/>
    </xf>
    <xf numFmtId="0" fontId="7" fillId="4" borderId="74" xfId="0" applyFont="1" applyFill="1" applyBorder="1" applyAlignment="1">
      <alignment vertical="center" wrapText="1"/>
    </xf>
    <xf numFmtId="0" fontId="4" fillId="4" borderId="75" xfId="0" applyFont="1" applyFill="1" applyBorder="1" applyAlignment="1">
      <alignment vertical="center" wrapText="1"/>
    </xf>
    <xf numFmtId="0" fontId="4" fillId="4" borderId="76" xfId="0" applyFont="1" applyFill="1" applyBorder="1" applyAlignment="1">
      <alignment vertical="center" wrapText="1"/>
    </xf>
    <xf numFmtId="0" fontId="4" fillId="4" borderId="77" xfId="0" applyFont="1" applyFill="1" applyBorder="1" applyAlignment="1">
      <alignment vertical="center" wrapText="1"/>
    </xf>
    <xf numFmtId="175" fontId="49" fillId="17" borderId="0" xfId="0" applyNumberFormat="1" applyFont="1" applyFill="1" applyAlignment="1">
      <alignment horizontal="center" vertical="center"/>
    </xf>
    <xf numFmtId="0" fontId="55" fillId="4" borderId="80" xfId="0" applyFont="1" applyFill="1" applyBorder="1" applyAlignment="1">
      <alignment vertical="center" wrapText="1"/>
    </xf>
    <xf numFmtId="14" fontId="53" fillId="9" borderId="81" xfId="0" applyNumberFormat="1" applyFont="1" applyFill="1" applyBorder="1" applyAlignment="1" applyProtection="1">
      <alignment horizontal="center" vertical="center"/>
      <protection locked="0"/>
    </xf>
    <xf numFmtId="0" fontId="57" fillId="4" borderId="82" xfId="0" applyFont="1" applyFill="1" applyBorder="1" applyAlignment="1" applyProtection="1">
      <alignment vertical="center" wrapText="1"/>
      <protection hidden="1"/>
    </xf>
    <xf numFmtId="0" fontId="55" fillId="4" borderId="83" xfId="0" applyFont="1" applyFill="1" applyBorder="1" applyAlignment="1">
      <alignment vertical="center" wrapText="1"/>
    </xf>
    <xf numFmtId="166" fontId="56" fillId="4" borderId="85" xfId="0" applyNumberFormat="1" applyFont="1" applyFill="1" applyBorder="1" applyAlignment="1" applyProtection="1">
      <alignment vertical="center" wrapText="1"/>
      <protection hidden="1"/>
    </xf>
    <xf numFmtId="166" fontId="51" fillId="22" borderId="84" xfId="0" applyNumberFormat="1" applyFont="1" applyFill="1" applyBorder="1" applyAlignment="1" applyProtection="1">
      <alignment horizontal="center" vertical="center" wrapText="1"/>
      <protection locked="0"/>
    </xf>
    <xf numFmtId="0" fontId="46" fillId="4" borderId="86" xfId="0" applyFont="1" applyFill="1" applyBorder="1" applyAlignment="1">
      <alignment wrapText="1"/>
    </xf>
    <xf numFmtId="43" fontId="43" fillId="9" borderId="87" xfId="2" applyFont="1" applyFill="1" applyBorder="1" applyAlignment="1" applyProtection="1">
      <alignment horizontal="center"/>
      <protection locked="0"/>
    </xf>
    <xf numFmtId="166" fontId="56" fillId="4" borderId="88" xfId="0" applyNumberFormat="1" applyFont="1" applyFill="1" applyBorder="1" applyAlignment="1" applyProtection="1">
      <alignment vertical="center" wrapText="1"/>
      <protection hidden="1"/>
    </xf>
    <xf numFmtId="0" fontId="6" fillId="4" borderId="89" xfId="0" applyFont="1" applyFill="1" applyBorder="1" applyAlignment="1">
      <alignment vertical="center" wrapText="1"/>
    </xf>
    <xf numFmtId="166" fontId="52" fillId="22" borderId="90" xfId="0" applyNumberFormat="1" applyFont="1" applyFill="1" applyBorder="1" applyAlignment="1">
      <alignment horizontal="center" vertical="center" wrapText="1"/>
    </xf>
    <xf numFmtId="0" fontId="6" fillId="4" borderId="91" xfId="0" applyFont="1" applyFill="1" applyBorder="1" applyAlignment="1" applyProtection="1">
      <alignment vertical="center" wrapText="1"/>
      <protection hidden="1"/>
    </xf>
    <xf numFmtId="0" fontId="6" fillId="4" borderId="92" xfId="0" applyFont="1" applyFill="1" applyBorder="1" applyAlignment="1">
      <alignment vertical="center" wrapText="1"/>
    </xf>
    <xf numFmtId="0" fontId="6" fillId="4" borderId="93" xfId="0" applyFont="1" applyFill="1" applyBorder="1" applyAlignment="1" applyProtection="1">
      <alignment vertical="center" wrapText="1"/>
      <protection hidden="1"/>
    </xf>
    <xf numFmtId="2" fontId="52" fillId="22" borderId="95" xfId="0" applyNumberFormat="1" applyFont="1" applyFill="1" applyBorder="1" applyAlignment="1">
      <alignment horizontal="center" vertical="center"/>
    </xf>
    <xf numFmtId="0" fontId="6" fillId="4" borderId="96" xfId="0" applyFont="1" applyFill="1" applyBorder="1" applyProtection="1">
      <protection hidden="1"/>
    </xf>
    <xf numFmtId="0" fontId="60" fillId="4" borderId="71" xfId="0" applyFont="1" applyFill="1" applyBorder="1" applyAlignment="1">
      <alignment vertical="center" wrapText="1"/>
    </xf>
    <xf numFmtId="0" fontId="5" fillId="4" borderId="73" xfId="0" applyFont="1" applyFill="1" applyBorder="1" applyAlignment="1">
      <alignment vertical="center" wrapText="1"/>
    </xf>
    <xf numFmtId="0" fontId="6" fillId="4" borderId="97" xfId="0" applyFont="1" applyFill="1" applyBorder="1" applyAlignment="1">
      <alignment vertical="center" wrapText="1"/>
    </xf>
    <xf numFmtId="166" fontId="52" fillId="22" borderId="98" xfId="0" applyNumberFormat="1" applyFont="1" applyFill="1" applyBorder="1" applyAlignment="1">
      <alignment horizontal="center" vertical="center" wrapText="1"/>
    </xf>
    <xf numFmtId="0" fontId="6" fillId="4" borderId="99" xfId="0" applyFont="1" applyFill="1" applyBorder="1" applyAlignment="1" applyProtection="1">
      <alignment vertical="center" wrapText="1"/>
      <protection hidden="1"/>
    </xf>
    <xf numFmtId="0" fontId="6" fillId="4" borderId="94" xfId="0" applyFont="1" applyFill="1" applyBorder="1"/>
    <xf numFmtId="0" fontId="1" fillId="2" borderId="100" xfId="0" applyFont="1" applyFill="1" applyBorder="1" applyAlignment="1">
      <alignment vertical="center" wrapText="1"/>
    </xf>
    <xf numFmtId="176" fontId="4" fillId="0" borderId="3" xfId="0" applyNumberFormat="1" applyFont="1" applyBorder="1" applyAlignment="1">
      <alignment vertical="center" wrapText="1"/>
    </xf>
    <xf numFmtId="176" fontId="6" fillId="5" borderId="10" xfId="2" applyNumberFormat="1" applyFont="1" applyFill="1" applyBorder="1" applyAlignment="1">
      <alignment vertical="center"/>
    </xf>
    <xf numFmtId="14" fontId="9" fillId="23" borderId="26" xfId="0" applyNumberFormat="1" applyFont="1" applyFill="1" applyBorder="1"/>
    <xf numFmtId="14" fontId="12" fillId="23" borderId="26" xfId="0" applyNumberFormat="1" applyFont="1" applyFill="1" applyBorder="1"/>
    <xf numFmtId="0" fontId="1" fillId="24" borderId="26" xfId="0" applyFont="1" applyFill="1" applyBorder="1" applyAlignment="1">
      <alignment vertical="center" wrapText="1"/>
    </xf>
    <xf numFmtId="0" fontId="9" fillId="4" borderId="26" xfId="0" applyFont="1" applyFill="1" applyBorder="1"/>
    <xf numFmtId="0" fontId="9" fillId="4" borderId="13" xfId="0" applyFont="1" applyFill="1" applyBorder="1"/>
    <xf numFmtId="14" fontId="9" fillId="4" borderId="26" xfId="0" applyNumberFormat="1" applyFont="1" applyFill="1" applyBorder="1"/>
    <xf numFmtId="0" fontId="1" fillId="24" borderId="22" xfId="0" applyFont="1" applyFill="1" applyBorder="1" applyAlignment="1">
      <alignment vertical="center" wrapText="1"/>
    </xf>
    <xf numFmtId="0" fontId="9" fillId="4" borderId="22" xfId="0" applyFont="1" applyFill="1" applyBorder="1"/>
    <xf numFmtId="0" fontId="9" fillId="4" borderId="1" xfId="0" applyFont="1" applyFill="1" applyBorder="1"/>
    <xf numFmtId="14" fontId="12" fillId="4" borderId="26" xfId="0" applyNumberFormat="1" applyFont="1" applyFill="1" applyBorder="1"/>
    <xf numFmtId="0" fontId="9" fillId="24" borderId="22" xfId="0" applyFont="1" applyFill="1" applyBorder="1"/>
    <xf numFmtId="0" fontId="9" fillId="24" borderId="1" xfId="0" applyFont="1" applyFill="1" applyBorder="1"/>
    <xf numFmtId="0" fontId="1" fillId="24" borderId="25" xfId="0" applyFont="1" applyFill="1" applyBorder="1" applyAlignment="1">
      <alignment vertical="center" wrapText="1"/>
    </xf>
    <xf numFmtId="2" fontId="9" fillId="4" borderId="13" xfId="0" applyNumberFormat="1" applyFont="1" applyFill="1" applyBorder="1"/>
    <xf numFmtId="0" fontId="20" fillId="24" borderId="22" xfId="0" applyFont="1" applyFill="1" applyBorder="1" applyAlignment="1">
      <alignment vertical="center" wrapText="1"/>
    </xf>
    <xf numFmtId="0" fontId="12" fillId="4" borderId="22" xfId="0" applyFont="1" applyFill="1" applyBorder="1"/>
    <xf numFmtId="0" fontId="12" fillId="4" borderId="1" xfId="0" applyFont="1" applyFill="1" applyBorder="1"/>
    <xf numFmtId="0" fontId="12" fillId="4" borderId="13" xfId="0" applyFont="1" applyFill="1" applyBorder="1"/>
    <xf numFmtId="0" fontId="1" fillId="24" borderId="29" xfId="0" applyFont="1" applyFill="1" applyBorder="1" applyAlignment="1">
      <alignment vertical="center" wrapText="1"/>
    </xf>
    <xf numFmtId="0" fontId="9" fillId="4" borderId="29" xfId="0" applyFont="1" applyFill="1" applyBorder="1"/>
    <xf numFmtId="0" fontId="9" fillId="4" borderId="15" xfId="0" applyFont="1" applyFill="1" applyBorder="1"/>
    <xf numFmtId="14" fontId="49" fillId="22" borderId="84" xfId="0" applyNumberFormat="1" applyFont="1" applyFill="1" applyBorder="1" applyAlignment="1" applyProtection="1">
      <alignment horizontal="center" vertical="center"/>
      <protection locked="0"/>
    </xf>
    <xf numFmtId="166" fontId="49" fillId="0" borderId="78" xfId="0" applyNumberFormat="1" applyFont="1" applyBorder="1" applyAlignment="1">
      <alignment horizontal="center" vertical="center" wrapText="1"/>
    </xf>
    <xf numFmtId="167" fontId="61" fillId="17" borderId="79"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8" fillId="0" borderId="60" xfId="0" applyFont="1" applyBorder="1" applyAlignment="1">
      <alignment horizontal="center" vertical="center"/>
    </xf>
    <xf numFmtId="0" fontId="58" fillId="0" borderId="61" xfId="0" applyFont="1" applyBorder="1" applyAlignment="1">
      <alignment horizontal="center" vertical="center"/>
    </xf>
    <xf numFmtId="0" fontId="58" fillId="0" borderId="52" xfId="0" applyFont="1" applyBorder="1" applyAlignment="1">
      <alignment horizontal="center" vertical="center"/>
    </xf>
    <xf numFmtId="0" fontId="28" fillId="4" borderId="0" xfId="0" applyFont="1" applyFill="1" applyAlignment="1">
      <alignment horizontal="center" vertical="center" wrapText="1"/>
    </xf>
    <xf numFmtId="0" fontId="59" fillId="7" borderId="55" xfId="3" applyFont="1" applyFill="1" applyBorder="1" applyAlignment="1" applyProtection="1">
      <alignment horizontal="center" vertical="center" wrapText="1"/>
    </xf>
    <xf numFmtId="0" fontId="59" fillId="7" borderId="62" xfId="3" applyFont="1" applyFill="1" applyBorder="1" applyAlignment="1" applyProtection="1">
      <alignment horizontal="center" vertical="center" wrapText="1"/>
    </xf>
    <xf numFmtId="0" fontId="59" fillId="7" borderId="56" xfId="3" applyFont="1" applyFill="1" applyBorder="1" applyAlignment="1" applyProtection="1">
      <alignment horizontal="center" vertical="center" wrapText="1"/>
    </xf>
    <xf numFmtId="0" fontId="59" fillId="7" borderId="54" xfId="3" applyFont="1" applyFill="1" applyBorder="1" applyAlignment="1" applyProtection="1">
      <alignment horizontal="center" vertical="center" wrapText="1"/>
    </xf>
    <xf numFmtId="0" fontId="59" fillId="7" borderId="0" xfId="3" applyFont="1" applyFill="1" applyBorder="1" applyAlignment="1" applyProtection="1">
      <alignment horizontal="center" vertical="center" wrapText="1"/>
    </xf>
    <xf numFmtId="0" fontId="59" fillId="7" borderId="57" xfId="3" applyFont="1" applyFill="1" applyBorder="1" applyAlignment="1" applyProtection="1">
      <alignment horizontal="center" vertical="center" wrapText="1"/>
    </xf>
    <xf numFmtId="0" fontId="59" fillId="7" borderId="58" xfId="3" applyFont="1" applyFill="1" applyBorder="1" applyAlignment="1" applyProtection="1">
      <alignment horizontal="center" vertical="center" wrapText="1"/>
    </xf>
    <xf numFmtId="0" fontId="59" fillId="7" borderId="63" xfId="3" applyFont="1" applyFill="1" applyBorder="1" applyAlignment="1" applyProtection="1">
      <alignment horizontal="center" vertical="center" wrapText="1"/>
    </xf>
    <xf numFmtId="0" fontId="59" fillId="7" borderId="59" xfId="3" applyFont="1" applyFill="1" applyBorder="1" applyAlignment="1" applyProtection="1">
      <alignment horizontal="center" vertical="center" wrapText="1"/>
    </xf>
    <xf numFmtId="0" fontId="47" fillId="4" borderId="0" xfId="0" applyFont="1" applyFill="1" applyAlignment="1">
      <alignment horizontal="right" vertical="top" wrapText="1" readingOrder="2"/>
    </xf>
    <xf numFmtId="0" fontId="48" fillId="4" borderId="0" xfId="0" applyFont="1" applyFill="1" applyAlignment="1">
      <alignment horizontal="left" vertical="top" wrapText="1"/>
    </xf>
    <xf numFmtId="0" fontId="30" fillId="0" borderId="0" xfId="0" applyFont="1" applyAlignment="1">
      <alignment horizontal="left" vertical="center" wrapText="1"/>
    </xf>
    <xf numFmtId="0" fontId="14" fillId="7" borderId="66" xfId="0" applyFont="1" applyFill="1" applyBorder="1" applyAlignment="1">
      <alignment horizontal="center" vertical="center" wrapText="1"/>
    </xf>
    <xf numFmtId="0" fontId="14" fillId="7" borderId="67"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4" fillId="8" borderId="53"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4" fillId="4" borderId="0" xfId="0" applyFont="1" applyFill="1" applyAlignment="1">
      <alignment horizontal="center" vertical="center" wrapText="1"/>
    </xf>
    <xf numFmtId="0" fontId="14" fillId="4" borderId="0" xfId="0" applyFont="1" applyFill="1" applyAlignment="1">
      <alignment horizontal="left" vertical="center" wrapText="1"/>
    </xf>
    <xf numFmtId="0" fontId="6" fillId="17" borderId="0" xfId="0" applyFont="1" applyFill="1" applyAlignment="1">
      <alignment horizontal="right" vertical="top" wrapText="1" readingOrder="2"/>
    </xf>
    <xf numFmtId="0" fontId="32" fillId="17" borderId="0" xfId="0" applyFont="1" applyFill="1" applyAlignment="1">
      <alignment horizontal="left" vertical="top" wrapText="1"/>
    </xf>
    <xf numFmtId="0" fontId="46" fillId="17" borderId="0" xfId="0" applyFont="1" applyFill="1" applyAlignment="1">
      <alignment horizontal="left" vertical="top" wrapText="1" readingOrder="1"/>
    </xf>
    <xf numFmtId="0" fontId="5" fillId="17" borderId="0" xfId="0" applyFont="1" applyFill="1" applyAlignment="1">
      <alignment horizontal="left" vertical="top" wrapText="1" readingOrder="1"/>
    </xf>
    <xf numFmtId="0" fontId="54" fillId="17" borderId="0" xfId="0" applyFont="1" applyFill="1" applyAlignment="1">
      <alignment horizontal="right" vertical="top" wrapText="1" readingOrder="2"/>
    </xf>
  </cellXfs>
  <cellStyles count="4">
    <cellStyle name="Comma" xfId="2" builtinId="3"/>
    <cellStyle name="Hyperlink" xfId="3" builtinId="8"/>
    <cellStyle name="Normal" xfId="0" builtinId="0"/>
    <cellStyle name="Percent" xfId="1" builtinId="5"/>
  </cellStyles>
  <dxfs count="3">
    <dxf>
      <font>
        <color rgb="FF9C0006"/>
      </font>
      <fill>
        <patternFill>
          <bgColor rgb="FFFFC7CE"/>
        </patternFill>
      </fill>
    </dxf>
    <dxf>
      <font>
        <color rgb="FF9C0006"/>
      </font>
    </dxf>
    <dxf>
      <font>
        <color rgb="FF9C0006"/>
      </font>
    </dxf>
  </dxfs>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3.pn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1619680</xdr:colOff>
      <xdr:row>0</xdr:row>
      <xdr:rowOff>0</xdr:rowOff>
    </xdr:from>
    <xdr:to>
      <xdr:col>4</xdr:col>
      <xdr:colOff>612135</xdr:colOff>
      <xdr:row>3</xdr:row>
      <xdr:rowOff>76862</xdr:rowOff>
    </xdr:to>
    <xdr:pic>
      <xdr:nvPicPr>
        <xdr:cNvPr id="7" name="Picture 6" descr="A blue circle with white rays and a white background&#10;&#10;AI-generated content may be incorrect.">
          <a:extLst>
            <a:ext uri="{FF2B5EF4-FFF2-40B4-BE49-F238E27FC236}">
              <a16:creationId xmlns:a16="http://schemas.microsoft.com/office/drawing/2014/main" id="{6BE8ADEE-6158-4F87-89B5-7AC7F272C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0445" y="0"/>
          <a:ext cx="2018497" cy="702235"/>
        </a:xfrm>
        <a:prstGeom prst="rect">
          <a:avLst/>
        </a:prstGeom>
        <a:noFill/>
        <a:ln>
          <a:noFill/>
        </a:ln>
      </xdr:spPr>
    </xdr:pic>
    <xdr:clientData/>
  </xdr:twoCellAnchor>
  <xdr:twoCellAnchor>
    <xdr:from>
      <xdr:col>3</xdr:col>
      <xdr:colOff>223597</xdr:colOff>
      <xdr:row>6</xdr:row>
      <xdr:rowOff>420062</xdr:rowOff>
    </xdr:from>
    <xdr:to>
      <xdr:col>3</xdr:col>
      <xdr:colOff>527050</xdr:colOff>
      <xdr:row>6</xdr:row>
      <xdr:rowOff>425450</xdr:rowOff>
    </xdr:to>
    <xdr:cxnSp macro="">
      <xdr:nvCxnSpPr>
        <xdr:cNvPr id="3" name="Straight Arrow Connector 2">
          <a:extLst>
            <a:ext uri="{FF2B5EF4-FFF2-40B4-BE49-F238E27FC236}">
              <a16:creationId xmlns:a16="http://schemas.microsoft.com/office/drawing/2014/main" id="{81FEF6B8-6D1E-B091-3B79-DEDEF4C378A2}"/>
            </a:ext>
          </a:extLst>
        </xdr:cNvPr>
        <xdr:cNvCxnSpPr/>
      </xdr:nvCxnSpPr>
      <xdr:spPr>
        <a:xfrm flipH="1" flipV="1">
          <a:off x="8783397" y="1836112"/>
          <a:ext cx="303453" cy="5388"/>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2844800</xdr:colOff>
      <xdr:row>7</xdr:row>
      <xdr:rowOff>222250</xdr:rowOff>
    </xdr:from>
    <xdr:to>
      <xdr:col>1</xdr:col>
      <xdr:colOff>3232150</xdr:colOff>
      <xdr:row>7</xdr:row>
      <xdr:rowOff>234950</xdr:rowOff>
    </xdr:to>
    <xdr:cxnSp macro="">
      <xdr:nvCxnSpPr>
        <xdr:cNvPr id="12" name="Straight Arrow Connector 11">
          <a:extLst>
            <a:ext uri="{FF2B5EF4-FFF2-40B4-BE49-F238E27FC236}">
              <a16:creationId xmlns:a16="http://schemas.microsoft.com/office/drawing/2014/main" id="{53CCFEB9-0578-49DF-A670-68BB601576F3}"/>
            </a:ext>
          </a:extLst>
        </xdr:cNvPr>
        <xdr:cNvCxnSpPr/>
      </xdr:nvCxnSpPr>
      <xdr:spPr>
        <a:xfrm>
          <a:off x="3302000" y="2152650"/>
          <a:ext cx="387350" cy="1270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2832100</xdr:colOff>
      <xdr:row>6</xdr:row>
      <xdr:rowOff>330200</xdr:rowOff>
    </xdr:from>
    <xdr:to>
      <xdr:col>1</xdr:col>
      <xdr:colOff>3219450</xdr:colOff>
      <xdr:row>6</xdr:row>
      <xdr:rowOff>342900</xdr:rowOff>
    </xdr:to>
    <xdr:cxnSp macro="">
      <xdr:nvCxnSpPr>
        <xdr:cNvPr id="19" name="Straight Arrow Connector 18">
          <a:extLst>
            <a:ext uri="{FF2B5EF4-FFF2-40B4-BE49-F238E27FC236}">
              <a16:creationId xmlns:a16="http://schemas.microsoft.com/office/drawing/2014/main" id="{91F631C3-3B74-42C7-A464-4E5E0DB1E2C9}"/>
            </a:ext>
          </a:extLst>
        </xdr:cNvPr>
        <xdr:cNvCxnSpPr/>
      </xdr:nvCxnSpPr>
      <xdr:spPr>
        <a:xfrm>
          <a:off x="3289300" y="1746250"/>
          <a:ext cx="387350" cy="1270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2857500</xdr:colOff>
      <xdr:row>8</xdr:row>
      <xdr:rowOff>171450</xdr:rowOff>
    </xdr:from>
    <xdr:to>
      <xdr:col>2</xdr:col>
      <xdr:colOff>0</xdr:colOff>
      <xdr:row>8</xdr:row>
      <xdr:rowOff>184150</xdr:rowOff>
    </xdr:to>
    <xdr:cxnSp macro="">
      <xdr:nvCxnSpPr>
        <xdr:cNvPr id="20" name="Straight Arrow Connector 19">
          <a:extLst>
            <a:ext uri="{FF2B5EF4-FFF2-40B4-BE49-F238E27FC236}">
              <a16:creationId xmlns:a16="http://schemas.microsoft.com/office/drawing/2014/main" id="{86BF6C2B-19BD-4752-BB03-FD400117D43A}"/>
            </a:ext>
          </a:extLst>
        </xdr:cNvPr>
        <xdr:cNvCxnSpPr/>
      </xdr:nvCxnSpPr>
      <xdr:spPr>
        <a:xfrm>
          <a:off x="3314700" y="2508250"/>
          <a:ext cx="387350" cy="1270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2825750</xdr:colOff>
      <xdr:row>9</xdr:row>
      <xdr:rowOff>158750</xdr:rowOff>
    </xdr:from>
    <xdr:to>
      <xdr:col>1</xdr:col>
      <xdr:colOff>3213100</xdr:colOff>
      <xdr:row>9</xdr:row>
      <xdr:rowOff>171450</xdr:rowOff>
    </xdr:to>
    <xdr:cxnSp macro="">
      <xdr:nvCxnSpPr>
        <xdr:cNvPr id="21" name="Straight Arrow Connector 20">
          <a:extLst>
            <a:ext uri="{FF2B5EF4-FFF2-40B4-BE49-F238E27FC236}">
              <a16:creationId xmlns:a16="http://schemas.microsoft.com/office/drawing/2014/main" id="{5627EE58-980E-4C72-ABCB-B42E578F8486}"/>
            </a:ext>
          </a:extLst>
        </xdr:cNvPr>
        <xdr:cNvCxnSpPr/>
      </xdr:nvCxnSpPr>
      <xdr:spPr>
        <a:xfrm>
          <a:off x="3282950" y="2819400"/>
          <a:ext cx="387350" cy="1270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185497</xdr:colOff>
      <xdr:row>7</xdr:row>
      <xdr:rowOff>331162</xdr:rowOff>
    </xdr:from>
    <xdr:to>
      <xdr:col>3</xdr:col>
      <xdr:colOff>488950</xdr:colOff>
      <xdr:row>7</xdr:row>
      <xdr:rowOff>336550</xdr:rowOff>
    </xdr:to>
    <xdr:cxnSp macro="">
      <xdr:nvCxnSpPr>
        <xdr:cNvPr id="23" name="Straight Arrow Connector 22">
          <a:extLst>
            <a:ext uri="{FF2B5EF4-FFF2-40B4-BE49-F238E27FC236}">
              <a16:creationId xmlns:a16="http://schemas.microsoft.com/office/drawing/2014/main" id="{4F259306-4A14-4248-AD35-8F1A011C5E09}"/>
            </a:ext>
          </a:extLst>
        </xdr:cNvPr>
        <xdr:cNvCxnSpPr/>
      </xdr:nvCxnSpPr>
      <xdr:spPr>
        <a:xfrm flipH="1" flipV="1">
          <a:off x="8745297" y="2261562"/>
          <a:ext cx="303453" cy="5388"/>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185497</xdr:colOff>
      <xdr:row>8</xdr:row>
      <xdr:rowOff>197812</xdr:rowOff>
    </xdr:from>
    <xdr:to>
      <xdr:col>3</xdr:col>
      <xdr:colOff>488950</xdr:colOff>
      <xdr:row>8</xdr:row>
      <xdr:rowOff>203200</xdr:rowOff>
    </xdr:to>
    <xdr:cxnSp macro="">
      <xdr:nvCxnSpPr>
        <xdr:cNvPr id="24" name="Straight Arrow Connector 23">
          <a:extLst>
            <a:ext uri="{FF2B5EF4-FFF2-40B4-BE49-F238E27FC236}">
              <a16:creationId xmlns:a16="http://schemas.microsoft.com/office/drawing/2014/main" id="{FBCAA066-E294-4B91-817C-3403D4D6F668}"/>
            </a:ext>
          </a:extLst>
        </xdr:cNvPr>
        <xdr:cNvCxnSpPr/>
      </xdr:nvCxnSpPr>
      <xdr:spPr>
        <a:xfrm flipH="1" flipV="1">
          <a:off x="8745297" y="2534612"/>
          <a:ext cx="303453" cy="5388"/>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179147</xdr:colOff>
      <xdr:row>9</xdr:row>
      <xdr:rowOff>197812</xdr:rowOff>
    </xdr:from>
    <xdr:to>
      <xdr:col>3</xdr:col>
      <xdr:colOff>482600</xdr:colOff>
      <xdr:row>9</xdr:row>
      <xdr:rowOff>203200</xdr:rowOff>
    </xdr:to>
    <xdr:cxnSp macro="">
      <xdr:nvCxnSpPr>
        <xdr:cNvPr id="25" name="Straight Arrow Connector 24">
          <a:extLst>
            <a:ext uri="{FF2B5EF4-FFF2-40B4-BE49-F238E27FC236}">
              <a16:creationId xmlns:a16="http://schemas.microsoft.com/office/drawing/2014/main" id="{8A43019A-BC41-4AAB-B74C-9D2C35E02881}"/>
            </a:ext>
          </a:extLst>
        </xdr:cNvPr>
        <xdr:cNvCxnSpPr/>
      </xdr:nvCxnSpPr>
      <xdr:spPr>
        <a:xfrm flipH="1" flipV="1">
          <a:off x="8738947" y="2858462"/>
          <a:ext cx="303453" cy="5388"/>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6724</xdr:colOff>
      <xdr:row>0</xdr:row>
      <xdr:rowOff>37353</xdr:rowOff>
    </xdr:from>
    <xdr:to>
      <xdr:col>16384</xdr:col>
      <xdr:colOff>25906</xdr:colOff>
      <xdr:row>3</xdr:row>
      <xdr:rowOff>171003</xdr:rowOff>
    </xdr:to>
    <xdr:pic>
      <xdr:nvPicPr>
        <xdr:cNvPr id="4" name="Picture 3">
          <a:extLst>
            <a:ext uri="{FF2B5EF4-FFF2-40B4-BE49-F238E27FC236}">
              <a16:creationId xmlns:a16="http://schemas.microsoft.com/office/drawing/2014/main" id="{AB576FC0-3AC7-4298-8AB4-4C9E68D67742}"/>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colorTemperature colorTemp="4700"/>
                  </a14:imgEffect>
                </a14:imgLayer>
              </a14:imgProps>
            </a:ext>
            <a:ext uri="{28A0092B-C50C-407E-A947-70E740481C1C}">
              <a14:useLocalDpi xmlns:a14="http://schemas.microsoft.com/office/drawing/2010/main" val="0"/>
            </a:ext>
          </a:extLst>
        </a:blip>
        <a:stretch>
          <a:fillRect/>
        </a:stretch>
      </xdr:blipFill>
      <xdr:spPr>
        <a:xfrm>
          <a:off x="6724" y="37353"/>
          <a:ext cx="12176631" cy="705150"/>
        </a:xfrm>
        <a:prstGeom prst="rect">
          <a:avLst/>
        </a:prstGeom>
        <a:noFill/>
        <a:ln w="19050" cap="rnd">
          <a:noFill/>
          <a:bevel/>
        </a:ln>
        <a:effectLst>
          <a:innerShdw blurRad="63500" dist="50800" dir="18900000">
            <a:prstClr val="black">
              <a:alpha val="50000"/>
            </a:prstClr>
          </a:innerShdw>
        </a:effectLst>
      </xdr:spPr>
    </xdr:pic>
    <xdr:clientData/>
  </xdr:twoCellAnchor>
  <xdr:twoCellAnchor editAs="oneCell">
    <xdr:from>
      <xdr:col>6</xdr:col>
      <xdr:colOff>171825</xdr:colOff>
      <xdr:row>0</xdr:row>
      <xdr:rowOff>166620</xdr:rowOff>
    </xdr:from>
    <xdr:to>
      <xdr:col>8</xdr:col>
      <xdr:colOff>0</xdr:colOff>
      <xdr:row>53</xdr:row>
      <xdr:rowOff>48971</xdr:rowOff>
    </xdr:to>
    <xdr:pic>
      <xdr:nvPicPr>
        <xdr:cNvPr id="10" name="Picture 9">
          <a:extLst>
            <a:ext uri="{FF2B5EF4-FFF2-40B4-BE49-F238E27FC236}">
              <a16:creationId xmlns:a16="http://schemas.microsoft.com/office/drawing/2014/main" id="{0E379AD5-5696-4908-958A-95FB319E84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2470164" y="9156340"/>
          <a:ext cx="18659261" cy="679822"/>
        </a:xfrm>
        <a:prstGeom prst="rect">
          <a:avLst/>
        </a:prstGeom>
        <a:effectLst>
          <a:innerShdw blurRad="63500" dist="50800" dir="18900000">
            <a:prstClr val="black">
              <a:alpha val="50000"/>
            </a:prstClr>
          </a:innerShdw>
        </a:effectLst>
      </xdr:spPr>
    </xdr:pic>
    <xdr:clientData/>
  </xdr:twoCellAnchor>
  <xdr:twoCellAnchor editAs="oneCell">
    <xdr:from>
      <xdr:col>0</xdr:col>
      <xdr:colOff>37348</xdr:colOff>
      <xdr:row>2</xdr:row>
      <xdr:rowOff>71559</xdr:rowOff>
    </xdr:from>
    <xdr:to>
      <xdr:col>2</xdr:col>
      <xdr:colOff>520245</xdr:colOff>
      <xdr:row>33</xdr:row>
      <xdr:rowOff>91868</xdr:rowOff>
    </xdr:to>
    <xdr:pic>
      <xdr:nvPicPr>
        <xdr:cNvPr id="11" name="Picture 10">
          <a:extLst>
            <a:ext uri="{FF2B5EF4-FFF2-40B4-BE49-F238E27FC236}">
              <a16:creationId xmlns:a16="http://schemas.microsoft.com/office/drawing/2014/main" id="{00793B1A-6B81-4F83-95E3-B323E10BC9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041298" y="4513062"/>
          <a:ext cx="9163158" cy="1005865"/>
        </a:xfrm>
        <a:prstGeom prst="rect">
          <a:avLst/>
        </a:prstGeom>
        <a:effectLst>
          <a:innerShdw blurRad="63500" dist="50800" dir="18900000">
            <a:prstClr val="black">
              <a:alpha val="50000"/>
            </a:prstClr>
          </a:innerShdw>
        </a:effectLst>
      </xdr:spPr>
    </xdr:pic>
    <xdr:clientData/>
  </xdr:twoCellAnchor>
  <xdr:twoCellAnchor editAs="oneCell">
    <xdr:from>
      <xdr:col>5</xdr:col>
      <xdr:colOff>829235</xdr:colOff>
      <xdr:row>2</xdr:row>
      <xdr:rowOff>121022</xdr:rowOff>
    </xdr:from>
    <xdr:to>
      <xdr:col>7</xdr:col>
      <xdr:colOff>38239</xdr:colOff>
      <xdr:row>5</xdr:row>
      <xdr:rowOff>253999</xdr:rowOff>
    </xdr:to>
    <xdr:pic>
      <xdr:nvPicPr>
        <xdr:cNvPr id="3" name="Picture 2" descr="A blue circle with white rays and a white background&#10;&#10;AI-generated content may be incorrect.">
          <a:extLst>
            <a:ext uri="{FF2B5EF4-FFF2-40B4-BE49-F238E27FC236}">
              <a16:creationId xmlns:a16="http://schemas.microsoft.com/office/drawing/2014/main" id="{CA7A561F-E5F0-4CB1-836C-84B5069364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68117" y="494551"/>
          <a:ext cx="2276241" cy="812801"/>
        </a:xfrm>
        <a:prstGeom prst="rect">
          <a:avLst/>
        </a:prstGeom>
        <a:noFill/>
        <a:ln>
          <a:noFill/>
        </a:ln>
      </xdr:spPr>
    </xdr:pic>
    <xdr:clientData/>
  </xdr:twoCellAnchor>
  <xdr:twoCellAnchor editAs="oneCell">
    <xdr:from>
      <xdr:col>0</xdr:col>
      <xdr:colOff>0</xdr:colOff>
      <xdr:row>51</xdr:row>
      <xdr:rowOff>213255</xdr:rowOff>
    </xdr:from>
    <xdr:to>
      <xdr:col>8</xdr:col>
      <xdr:colOff>0</xdr:colOff>
      <xdr:row>53</xdr:row>
      <xdr:rowOff>176695</xdr:rowOff>
    </xdr:to>
    <xdr:pic>
      <xdr:nvPicPr>
        <xdr:cNvPr id="6" name="Picture 5">
          <a:extLst>
            <a:ext uri="{FF2B5EF4-FFF2-40B4-BE49-F238E27FC236}">
              <a16:creationId xmlns:a16="http://schemas.microsoft.com/office/drawing/2014/main" id="{846E630B-76AA-43B0-BACC-12C810336E0C}"/>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colorTemperature colorTemp="4700"/>
                  </a14:imgEffect>
                </a14:imgLayer>
              </a14:imgProps>
            </a:ext>
            <a:ext uri="{28A0092B-C50C-407E-A947-70E740481C1C}">
              <a14:useLocalDpi xmlns:a14="http://schemas.microsoft.com/office/drawing/2010/main" val="0"/>
            </a:ext>
          </a:extLst>
        </a:blip>
        <a:stretch>
          <a:fillRect/>
        </a:stretch>
      </xdr:blipFill>
      <xdr:spPr>
        <a:xfrm rot="10800000">
          <a:off x="0" y="18396342"/>
          <a:ext cx="12142304" cy="576353"/>
        </a:xfrm>
        <a:prstGeom prst="rect">
          <a:avLst/>
        </a:prstGeom>
        <a:noFill/>
        <a:ln w="19050" cap="rnd">
          <a:noFill/>
          <a:bevel/>
        </a:ln>
        <a:effectLst>
          <a:innerShdw blurRad="63500" dist="50800" dir="18900000">
            <a:prstClr val="black">
              <a:alpha val="50000"/>
            </a:prstClr>
          </a:innerShdw>
        </a:effectLst>
      </xdr:spPr>
    </xdr:pic>
    <xdr:clientData/>
  </xdr:twoCellAnchor>
  <xdr:twoCellAnchor editAs="oneCell">
    <xdr:from>
      <xdr:col>0</xdr:col>
      <xdr:colOff>0</xdr:colOff>
      <xdr:row>32</xdr:row>
      <xdr:rowOff>123851</xdr:rowOff>
    </xdr:from>
    <xdr:to>
      <xdr:col>8</xdr:col>
      <xdr:colOff>0</xdr:colOff>
      <xdr:row>36</xdr:row>
      <xdr:rowOff>144135</xdr:rowOff>
    </xdr:to>
    <xdr:pic>
      <xdr:nvPicPr>
        <xdr:cNvPr id="2" name="Picture 1">
          <a:extLst>
            <a:ext uri="{FF2B5EF4-FFF2-40B4-BE49-F238E27FC236}">
              <a16:creationId xmlns:a16="http://schemas.microsoft.com/office/drawing/2014/main" id="{E50708C4-78DC-482C-B1DC-6E41C3FC96F3}"/>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colorTemperature colorTemp="4700"/>
                  </a14:imgEffect>
                </a14:imgLayer>
              </a14:imgProps>
            </a:ext>
            <a:ext uri="{28A0092B-C50C-407E-A947-70E740481C1C}">
              <a14:useLocalDpi xmlns:a14="http://schemas.microsoft.com/office/drawing/2010/main" val="0"/>
            </a:ext>
          </a:extLst>
        </a:blip>
        <a:stretch>
          <a:fillRect/>
        </a:stretch>
      </xdr:blipFill>
      <xdr:spPr>
        <a:xfrm>
          <a:off x="0" y="9394851"/>
          <a:ext cx="12142304" cy="809893"/>
        </a:xfrm>
        <a:prstGeom prst="rect">
          <a:avLst/>
        </a:prstGeom>
        <a:noFill/>
        <a:ln w="19050" cap="rnd">
          <a:noFill/>
          <a:bevel/>
        </a:ln>
        <a:effectLst>
          <a:innerShdw blurRad="63500" dist="50800" dir="18900000">
            <a:prstClr val="black">
              <a:alpha val="50000"/>
            </a:prstClr>
          </a:innerShdw>
        </a:effectLst>
      </xdr:spPr>
    </xdr:pic>
    <xdr:clientData/>
  </xdr:twoCellAnchor>
  <xdr:twoCellAnchor editAs="oneCell">
    <xdr:from>
      <xdr:col>0</xdr:col>
      <xdr:colOff>323690</xdr:colOff>
      <xdr:row>29</xdr:row>
      <xdr:rowOff>388007</xdr:rowOff>
    </xdr:from>
    <xdr:to>
      <xdr:col>7</xdr:col>
      <xdr:colOff>412243</xdr:colOff>
      <xdr:row>32</xdr:row>
      <xdr:rowOff>80069</xdr:rowOff>
    </xdr:to>
    <xdr:pic>
      <xdr:nvPicPr>
        <xdr:cNvPr id="5" name="Picture 4">
          <a:extLst>
            <a:ext uri="{FF2B5EF4-FFF2-40B4-BE49-F238E27FC236}">
              <a16:creationId xmlns:a16="http://schemas.microsoft.com/office/drawing/2014/main" id="{F8C1376A-6483-4FE4-8619-795773601CA8}"/>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colorTemperature colorTemp="4700"/>
                  </a14:imgEffect>
                </a14:imgLayer>
              </a14:imgProps>
            </a:ext>
            <a:ext uri="{28A0092B-C50C-407E-A947-70E740481C1C}">
              <a14:useLocalDpi xmlns:a14="http://schemas.microsoft.com/office/drawing/2010/main" val="0"/>
            </a:ext>
          </a:extLst>
        </a:blip>
        <a:stretch>
          <a:fillRect/>
        </a:stretch>
      </xdr:blipFill>
      <xdr:spPr>
        <a:xfrm rot="10800000">
          <a:off x="323690" y="8732654"/>
          <a:ext cx="11694672" cy="689622"/>
        </a:xfrm>
        <a:prstGeom prst="rect">
          <a:avLst/>
        </a:prstGeom>
        <a:noFill/>
        <a:ln w="19050" cap="rnd">
          <a:noFill/>
          <a:bevel/>
        </a:ln>
        <a:effectLst>
          <a:innerShdw blurRad="63500" dist="50800" dir="18900000">
            <a:prstClr val="black">
              <a:alpha val="50000"/>
            </a:prstClr>
          </a:innerShdw>
        </a:effectLst>
      </xdr:spPr>
    </xdr:pic>
    <xdr:clientData/>
  </xdr:twoCellAnchor>
  <xdr:twoCellAnchor editAs="oneCell">
    <xdr:from>
      <xdr:col>5</xdr:col>
      <xdr:colOff>784413</xdr:colOff>
      <xdr:row>34</xdr:row>
      <xdr:rowOff>201705</xdr:rowOff>
    </xdr:from>
    <xdr:to>
      <xdr:col>6</xdr:col>
      <xdr:colOff>311477</xdr:colOff>
      <xdr:row>39</xdr:row>
      <xdr:rowOff>75877</xdr:rowOff>
    </xdr:to>
    <xdr:pic>
      <xdr:nvPicPr>
        <xdr:cNvPr id="7" name="Picture 6" descr="A blue circle with white rays and a white background&#10;&#10;AI-generated content may be incorrect.">
          <a:extLst>
            <a:ext uri="{FF2B5EF4-FFF2-40B4-BE49-F238E27FC236}">
              <a16:creationId xmlns:a16="http://schemas.microsoft.com/office/drawing/2014/main" id="{9B3205BA-C360-4087-B94C-31A1C85D924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23295" y="9868646"/>
          <a:ext cx="2276241" cy="688466"/>
        </a:xfrm>
        <a:prstGeom prst="rect">
          <a:avLst/>
        </a:prstGeom>
        <a:noFill/>
        <a:ln>
          <a:noFill/>
        </a:ln>
      </xdr:spPr>
    </xdr:pic>
    <xdr:clientData/>
  </xdr:twoCellAnchor>
  <xdr:twoCellAnchor editAs="oneCell">
    <xdr:from>
      <xdr:col>0</xdr:col>
      <xdr:colOff>0</xdr:colOff>
      <xdr:row>34</xdr:row>
      <xdr:rowOff>135678</xdr:rowOff>
    </xdr:from>
    <xdr:to>
      <xdr:col>2</xdr:col>
      <xdr:colOff>107765</xdr:colOff>
      <xdr:row>52</xdr:row>
      <xdr:rowOff>167205</xdr:rowOff>
    </xdr:to>
    <xdr:pic>
      <xdr:nvPicPr>
        <xdr:cNvPr id="8" name="Picture 7">
          <a:extLst>
            <a:ext uri="{FF2B5EF4-FFF2-40B4-BE49-F238E27FC236}">
              <a16:creationId xmlns:a16="http://schemas.microsoft.com/office/drawing/2014/main" id="{5A770484-CE38-4857-86F3-D518E4321A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133555" y="13970929"/>
          <a:ext cx="8899440" cy="632330"/>
        </a:xfrm>
        <a:prstGeom prst="rect">
          <a:avLst/>
        </a:prstGeom>
        <a:effectLst>
          <a:innerShdw blurRad="63500" dist="50800" dir="18900000">
            <a:prstClr val="black">
              <a:alpha val="50000"/>
            </a:prstClr>
          </a:innerShdw>
        </a:effec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4351-2464-405F-AE25-2F0DA0F7EEFB}">
  <dimension ref="A1:H71"/>
  <sheetViews>
    <sheetView tabSelected="1" zoomScale="60" zoomScaleNormal="60" workbookViewId="0">
      <selection activeCell="C7" sqref="C7"/>
    </sheetView>
  </sheetViews>
  <sheetFormatPr defaultColWidth="0" defaultRowHeight="14.5" zeroHeight="1" x14ac:dyDescent="0.35"/>
  <cols>
    <col min="1" max="1" width="6.54296875" customWidth="1"/>
    <col min="2" max="2" width="46.453125" style="5" customWidth="1"/>
    <col min="3" max="3" width="69.54296875" style="5" customWidth="1"/>
    <col min="4" max="4" width="43.36328125" style="5" customWidth="1"/>
    <col min="5" max="5" width="10.08984375" style="5" customWidth="1"/>
    <col min="6" max="7" width="8.7265625" style="5" hidden="1" customWidth="1"/>
    <col min="8" max="8" width="26" style="5" hidden="1" customWidth="1"/>
    <col min="9" max="16384" width="8.7265625" style="5" hidden="1"/>
  </cols>
  <sheetData>
    <row r="1" spans="1:5" x14ac:dyDescent="0.35"/>
    <row r="2" spans="1:5" ht="29" customHeight="1" x14ac:dyDescent="0.35">
      <c r="A2" s="4"/>
      <c r="B2" s="257" t="s">
        <v>924</v>
      </c>
      <c r="C2" s="257"/>
      <c r="D2" s="257"/>
    </row>
    <row r="3" spans="1:5" ht="6" customHeight="1" x14ac:dyDescent="0.35">
      <c r="A3" s="4"/>
      <c r="B3" s="128"/>
      <c r="C3" s="128"/>
      <c r="D3" s="116"/>
    </row>
    <row r="4" spans="1:5" ht="26.5" customHeight="1" x14ac:dyDescent="0.35">
      <c r="A4" s="4"/>
      <c r="B4" s="129" t="s">
        <v>923</v>
      </c>
      <c r="C4" s="202">
        <f ca="1">IF(C8="",TODAY(),C8)</f>
        <v>46071</v>
      </c>
      <c r="D4" s="183" t="s">
        <v>922</v>
      </c>
    </row>
    <row r="5" spans="1:5" ht="6" customHeight="1" thickBot="1" x14ac:dyDescent="0.5">
      <c r="A5" s="4"/>
      <c r="B5" s="193"/>
      <c r="D5" s="194"/>
      <c r="E5" s="181"/>
    </row>
    <row r="6" spans="1:5" ht="29" customHeight="1" thickTop="1" thickBot="1" x14ac:dyDescent="0.4">
      <c r="A6" s="4"/>
      <c r="B6" s="254" t="s">
        <v>921</v>
      </c>
      <c r="C6" s="255"/>
      <c r="D6" s="256"/>
    </row>
    <row r="7" spans="1:5" ht="40.25" customHeight="1" thickTop="1" thickBot="1" x14ac:dyDescent="0.5">
      <c r="A7" s="4"/>
      <c r="B7" s="203" t="s">
        <v>973</v>
      </c>
      <c r="C7" s="204"/>
      <c r="D7" s="205" t="s">
        <v>972</v>
      </c>
      <c r="E7" s="181" t="str">
        <f>IF(C9&gt;0,IFERROR(IF('Zakat Report'!I29-'Zakat Report'!E29&lt;0.0000009,TRUE,FALSE),""),"")</f>
        <v/>
      </c>
    </row>
    <row r="8" spans="1:5" ht="32" customHeight="1" thickBot="1" x14ac:dyDescent="0.5">
      <c r="A8" s="4"/>
      <c r="B8" s="206" t="s">
        <v>971</v>
      </c>
      <c r="C8" s="249"/>
      <c r="D8" s="207" t="s">
        <v>935</v>
      </c>
      <c r="E8" s="181" t="str">
        <f>IF(C9&gt;0,IFERROR(IF('Zakat Report'!I30-'Zakat Report'!E30&lt;0.0000009,TRUE,FALSE),""),"")</f>
        <v/>
      </c>
    </row>
    <row r="9" spans="1:5" ht="25.5" customHeight="1" thickBot="1" x14ac:dyDescent="0.4">
      <c r="A9" s="4"/>
      <c r="B9" s="206" t="s">
        <v>22</v>
      </c>
      <c r="C9" s="208"/>
      <c r="D9" s="207" t="s">
        <v>920</v>
      </c>
    </row>
    <row r="10" spans="1:5" ht="24.5" customHeight="1" thickBot="1" x14ac:dyDescent="0.7">
      <c r="A10" s="4"/>
      <c r="B10" s="209" t="s">
        <v>540</v>
      </c>
      <c r="C10" s="210"/>
      <c r="D10" s="211" t="s">
        <v>919</v>
      </c>
      <c r="E10" s="5" t="s">
        <v>965</v>
      </c>
    </row>
    <row r="11" spans="1:5" ht="11.5" customHeight="1" thickTop="1" thickBot="1" x14ac:dyDescent="0.7">
      <c r="A11" s="4"/>
      <c r="B11" s="190"/>
      <c r="C11" s="192"/>
      <c r="D11" s="191"/>
    </row>
    <row r="12" spans="1:5" ht="40.5" customHeight="1" thickTop="1" thickBot="1" x14ac:dyDescent="0.4">
      <c r="A12" s="4"/>
      <c r="B12" s="212" t="s">
        <v>966</v>
      </c>
      <c r="C12" s="213" t="str">
        <f>IFERROR(VLOOKUP(C7,'Sukuk Details'!$A$3:$Q$224,17,FALSE),"")</f>
        <v/>
      </c>
      <c r="D12" s="214" t="s">
        <v>967</v>
      </c>
    </row>
    <row r="13" spans="1:5" ht="19.25" customHeight="1" thickBot="1" x14ac:dyDescent="0.4">
      <c r="A13" s="4"/>
      <c r="B13" s="215" t="str">
        <f>'Zakat Report'!D12</f>
        <v>ISIN</v>
      </c>
      <c r="C13" s="196" t="str">
        <f>IFERROR(VLOOKUP(C7,'Sukuk Details'!$A$3:$P$224,3,FALSE),"")</f>
        <v/>
      </c>
      <c r="D13" s="216" t="str">
        <f>'Zakat Report'!F12</f>
        <v>رقم تعريف الصكوك الدولي (ISIN)</v>
      </c>
    </row>
    <row r="14" spans="1:5" ht="22" thickBot="1" x14ac:dyDescent="0.4">
      <c r="A14" s="4"/>
      <c r="B14" s="221" t="s">
        <v>975</v>
      </c>
      <c r="C14" s="222" t="str">
        <f>IFERROR(VLOOKUP(C7,'Sukuk Details'!$A$3:$P$224,10,FALSE),"")</f>
        <v/>
      </c>
      <c r="D14" s="223" t="s">
        <v>913</v>
      </c>
    </row>
    <row r="15" spans="1:5" ht="22.5" customHeight="1" thickBot="1" x14ac:dyDescent="0.55000000000000004">
      <c r="A15" s="4"/>
      <c r="B15" s="224" t="s">
        <v>908</v>
      </c>
      <c r="C15" s="217" t="str">
        <f>IFERROR(VLOOKUP(C7,'Sukuk Details'!$A$3:$P$224,11,FALSE),"")</f>
        <v/>
      </c>
      <c r="D15" s="218" t="s">
        <v>912</v>
      </c>
    </row>
    <row r="16" spans="1:5" ht="5.5" customHeight="1" thickTop="1" x14ac:dyDescent="0.35">
      <c r="A16" s="4"/>
      <c r="B16" s="35"/>
      <c r="C16" s="35"/>
      <c r="D16" s="35"/>
    </row>
    <row r="17" spans="1:4" ht="1" customHeight="1" x14ac:dyDescent="0.35">
      <c r="A17" s="4"/>
      <c r="B17" s="35"/>
      <c r="C17" s="35"/>
      <c r="D17" s="35"/>
    </row>
    <row r="18" spans="1:4" ht="1" customHeight="1" x14ac:dyDescent="0.35">
      <c r="A18" s="4"/>
      <c r="B18" s="35"/>
      <c r="C18" s="35"/>
      <c r="D18" s="35"/>
    </row>
    <row r="19" spans="1:4" ht="1" customHeight="1" thickBot="1" x14ac:dyDescent="0.4">
      <c r="A19" s="4"/>
      <c r="B19" s="35"/>
      <c r="C19" s="35"/>
      <c r="D19" s="35"/>
    </row>
    <row r="20" spans="1:4" ht="33.25" customHeight="1" thickTop="1" thickBot="1" x14ac:dyDescent="0.4">
      <c r="A20" s="4"/>
      <c r="B20" s="219" t="s">
        <v>543</v>
      </c>
      <c r="C20" s="250" t="str">
        <f ca="1">IFERROR('Zakat Report'!E29,"")</f>
        <v/>
      </c>
      <c r="D20" s="197" t="s">
        <v>915</v>
      </c>
    </row>
    <row r="21" spans="1:4" ht="29" customHeight="1" thickBot="1" x14ac:dyDescent="0.4">
      <c r="A21" s="4"/>
      <c r="B21" s="220" t="s">
        <v>542</v>
      </c>
      <c r="C21" s="251" t="str">
        <f ca="1">IFERROR('Zakat Report'!E30,"")</f>
        <v/>
      </c>
      <c r="D21" s="198" t="s">
        <v>916</v>
      </c>
    </row>
    <row r="22" spans="1:4" ht="7" customHeight="1" thickBot="1" x14ac:dyDescent="0.4">
      <c r="A22" s="4"/>
      <c r="B22" s="199"/>
      <c r="C22" s="200"/>
      <c r="D22" s="201"/>
    </row>
    <row r="23" spans="1:4" ht="5.5" customHeight="1" thickTop="1" x14ac:dyDescent="0.35">
      <c r="A23" s="4"/>
      <c r="B23" s="258" t="s">
        <v>970</v>
      </c>
      <c r="C23" s="259"/>
      <c r="D23" s="260"/>
    </row>
    <row r="24" spans="1:4" ht="1.5" customHeight="1" x14ac:dyDescent="0.35">
      <c r="A24" s="4"/>
      <c r="B24" s="261"/>
      <c r="C24" s="262"/>
      <c r="D24" s="263"/>
    </row>
    <row r="25" spans="1:4" ht="3" customHeight="1" x14ac:dyDescent="0.35">
      <c r="A25" s="4"/>
      <c r="B25" s="261"/>
      <c r="C25" s="262"/>
      <c r="D25" s="263"/>
    </row>
    <row r="26" spans="1:4" ht="5.5" customHeight="1" x14ac:dyDescent="0.35">
      <c r="A26" s="4"/>
      <c r="B26" s="261"/>
      <c r="C26" s="262"/>
      <c r="D26" s="263"/>
    </row>
    <row r="27" spans="1:4" ht="2" customHeight="1" x14ac:dyDescent="0.35">
      <c r="A27" s="4"/>
      <c r="B27" s="261"/>
      <c r="C27" s="262"/>
      <c r="D27" s="263"/>
    </row>
    <row r="28" spans="1:4" ht="5.5" customHeight="1" x14ac:dyDescent="0.35">
      <c r="A28" s="4"/>
      <c r="B28" s="261"/>
      <c r="C28" s="262"/>
      <c r="D28" s="263"/>
    </row>
    <row r="29" spans="1:4" ht="49" customHeight="1" x14ac:dyDescent="0.35">
      <c r="A29" s="4"/>
      <c r="B29" s="261"/>
      <c r="C29" s="262"/>
      <c r="D29" s="263"/>
    </row>
    <row r="30" spans="1:4" ht="5.5" customHeight="1" thickBot="1" x14ac:dyDescent="0.4">
      <c r="A30" s="4"/>
      <c r="B30" s="264"/>
      <c r="C30" s="265"/>
      <c r="D30" s="266"/>
    </row>
    <row r="31" spans="1:4" ht="5.5" customHeight="1" thickTop="1" x14ac:dyDescent="0.35">
      <c r="A31" s="4"/>
      <c r="B31" s="35"/>
      <c r="C31" s="35"/>
      <c r="D31" s="35"/>
    </row>
    <row r="32" spans="1:4" ht="21.5" hidden="1" customHeight="1" x14ac:dyDescent="0.35">
      <c r="A32" s="4"/>
    </row>
    <row r="33" spans="1:5" ht="15" hidden="1" customHeight="1" x14ac:dyDescent="0.35">
      <c r="A33" s="4"/>
    </row>
    <row r="34" spans="1:5" ht="5.5" hidden="1" customHeight="1" x14ac:dyDescent="0.35">
      <c r="A34" s="4"/>
    </row>
    <row r="35" spans="1:5" ht="5.5" hidden="1" customHeight="1" x14ac:dyDescent="0.35">
      <c r="A35" s="4"/>
    </row>
    <row r="36" spans="1:5" ht="39.5" hidden="1" customHeight="1" x14ac:dyDescent="0.35">
      <c r="A36" s="4"/>
      <c r="D36" s="89"/>
    </row>
    <row r="37" spans="1:5" ht="13" hidden="1" customHeight="1" x14ac:dyDescent="0.35">
      <c r="A37" s="4"/>
    </row>
    <row r="38" spans="1:5" ht="13" hidden="1" customHeight="1" x14ac:dyDescent="0.35">
      <c r="A38" s="4"/>
    </row>
    <row r="39" spans="1:5" ht="18.5" hidden="1" thickBot="1" x14ac:dyDescent="0.4">
      <c r="A39" s="4"/>
      <c r="B39" s="30"/>
      <c r="C39" s="30"/>
      <c r="D39" s="30"/>
    </row>
    <row r="40" spans="1:5" ht="23" hidden="1" x14ac:dyDescent="0.35">
      <c r="A40" s="4"/>
      <c r="B40" s="252" t="s">
        <v>537</v>
      </c>
      <c r="C40" s="253"/>
      <c r="D40" s="117"/>
    </row>
    <row r="41" spans="1:5" hidden="1" x14ac:dyDescent="0.35">
      <c r="A41" s="4"/>
      <c r="B41" s="33"/>
      <c r="C41" s="34"/>
    </row>
    <row r="42" spans="1:5" ht="21" hidden="1" x14ac:dyDescent="0.5">
      <c r="A42" s="4"/>
      <c r="B42" s="12" t="s">
        <v>23</v>
      </c>
      <c r="C42" s="135" t="e">
        <f>VLOOKUP(C7,'Sukuk Details'!$A$3:$P$224,13,FALSE)</f>
        <v>#N/A</v>
      </c>
      <c r="D42" s="118"/>
    </row>
    <row r="43" spans="1:5" ht="21" hidden="1" x14ac:dyDescent="0.35">
      <c r="A43" s="4"/>
      <c r="B43" s="11" t="s">
        <v>26</v>
      </c>
      <c r="C43" s="16"/>
      <c r="D43" s="119"/>
    </row>
    <row r="44" spans="1:5" ht="21" hidden="1" x14ac:dyDescent="0.35">
      <c r="A44" s="4"/>
      <c r="B44" s="11" t="s">
        <v>538</v>
      </c>
      <c r="C44" s="16">
        <f>IF(C10="calendar",365,354)</f>
        <v>354</v>
      </c>
      <c r="D44" s="119"/>
    </row>
    <row r="45" spans="1:5" ht="36" hidden="1" x14ac:dyDescent="0.5">
      <c r="A45" s="4"/>
      <c r="B45" s="6" t="s">
        <v>898</v>
      </c>
      <c r="C45" s="10" t="e">
        <f>C42*C9</f>
        <v>#N/A</v>
      </c>
      <c r="D45" s="120"/>
      <c r="E45" s="17"/>
    </row>
    <row r="46" spans="1:5" ht="21" hidden="1" x14ac:dyDescent="0.5">
      <c r="A46" s="4"/>
      <c r="B46" s="6"/>
      <c r="C46" s="10"/>
      <c r="D46" s="120"/>
      <c r="E46" s="17"/>
    </row>
    <row r="47" spans="1:5" ht="21" hidden="1" x14ac:dyDescent="0.5">
      <c r="A47" s="4"/>
      <c r="B47" s="6" t="s">
        <v>900</v>
      </c>
      <c r="C47" s="136" t="e">
        <f>VLOOKUP(C7,'Sukuk Details'!$A$3:$P$224,4,FALSE)</f>
        <v>#N/A</v>
      </c>
      <c r="D47" s="121"/>
      <c r="E47" s="17"/>
    </row>
    <row r="48" spans="1:5" ht="21" hidden="1" x14ac:dyDescent="0.5">
      <c r="A48" s="4"/>
      <c r="B48" s="6" t="s">
        <v>902</v>
      </c>
      <c r="C48" s="92" t="e">
        <f ca="1">C4-C47</f>
        <v>#N/A</v>
      </c>
      <c r="D48" s="122"/>
      <c r="E48" s="17"/>
    </row>
    <row r="49" spans="1:5" ht="21" hidden="1" x14ac:dyDescent="0.5">
      <c r="A49" s="4"/>
      <c r="B49" s="6"/>
      <c r="C49" s="91"/>
      <c r="D49" s="122"/>
      <c r="E49" s="17"/>
    </row>
    <row r="50" spans="1:5" ht="21" hidden="1" x14ac:dyDescent="0.5">
      <c r="A50" s="4"/>
      <c r="B50" s="6" t="s">
        <v>899</v>
      </c>
      <c r="C50" s="90" t="e">
        <f>VLOOKUP(C7,'Sukuk Details'!$A$3:$P$224,8,FALSE)/100</f>
        <v>#N/A</v>
      </c>
      <c r="D50" s="123"/>
      <c r="E50" s="17"/>
    </row>
    <row r="51" spans="1:5" ht="21" hidden="1" x14ac:dyDescent="0.5">
      <c r="A51" s="4"/>
      <c r="B51" s="6" t="s">
        <v>903</v>
      </c>
      <c r="C51" s="10" t="e">
        <f>C50*C9/360</f>
        <v>#N/A</v>
      </c>
      <c r="D51" s="120" t="e">
        <f>200000*C50/360=C51</f>
        <v>#N/A</v>
      </c>
      <c r="E51" s="17"/>
    </row>
    <row r="52" spans="1:5" ht="21.5" hidden="1" thickBot="1" x14ac:dyDescent="0.4">
      <c r="A52" s="4"/>
      <c r="B52" s="6" t="s">
        <v>904</v>
      </c>
      <c r="C52" s="93" t="e">
        <f ca="1">C51*C48</f>
        <v>#N/A</v>
      </c>
      <c r="D52" s="124" t="e">
        <f ca="1">200000*C50/360*C48=C52</f>
        <v>#N/A</v>
      </c>
      <c r="E52" s="17"/>
    </row>
    <row r="53" spans="1:5" ht="37.5" hidden="1" thickBot="1" x14ac:dyDescent="0.4">
      <c r="A53" s="4"/>
      <c r="B53" s="6" t="s">
        <v>974</v>
      </c>
      <c r="C53" s="195">
        <v>47848</v>
      </c>
      <c r="D53" s="124"/>
    </row>
    <row r="54" spans="1:5" ht="21" hidden="1" x14ac:dyDescent="0.5">
      <c r="A54" s="4"/>
      <c r="B54" s="6" t="s">
        <v>905</v>
      </c>
      <c r="C54" s="10" t="e">
        <f ca="1">C52+C45</f>
        <v>#N/A</v>
      </c>
      <c r="D54" s="120"/>
    </row>
    <row r="55" spans="1:5" hidden="1" x14ac:dyDescent="0.35">
      <c r="A55" s="4"/>
      <c r="B55" s="33"/>
      <c r="C55" s="34"/>
      <c r="E55" s="5">
        <v>2.0523881661753299E-2</v>
      </c>
    </row>
    <row r="56" spans="1:5" ht="21" hidden="1" x14ac:dyDescent="0.5">
      <c r="A56" s="4"/>
      <c r="B56" s="13" t="s">
        <v>9</v>
      </c>
      <c r="C56" s="14">
        <f>IF(E56&gt;0,E56,IF(C10="calendar",2.577%,2.5%))</f>
        <v>2.5000000000000001E-2</v>
      </c>
      <c r="D56" s="14"/>
      <c r="E56" s="112">
        <f>IFERROR(VLOOKUP(C7,'Sukuk Details'!A2:$O$224,14,FALSE),0)</f>
        <v>0</v>
      </c>
    </row>
    <row r="57" spans="1:5" ht="20.5" hidden="1" thickBot="1" x14ac:dyDescent="0.4">
      <c r="A57" s="4"/>
      <c r="B57" s="7"/>
      <c r="C57" s="8"/>
      <c r="D57" s="125"/>
    </row>
    <row r="58" spans="1:5" hidden="1" x14ac:dyDescent="0.35">
      <c r="A58" s="4"/>
    </row>
    <row r="59" spans="1:5" hidden="1" x14ac:dyDescent="0.35">
      <c r="A59" s="4"/>
      <c r="C59" s="94"/>
      <c r="D59" s="94"/>
    </row>
    <row r="60" spans="1:5" ht="15" hidden="1" thickBot="1" x14ac:dyDescent="0.4">
      <c r="A60" s="4"/>
      <c r="C60" s="94"/>
      <c r="D60" s="94"/>
      <c r="E60" s="113"/>
    </row>
    <row r="61" spans="1:5" ht="36.5" hidden="1" thickTop="1" x14ac:dyDescent="0.5">
      <c r="A61" s="4"/>
      <c r="B61" s="95" t="s">
        <v>898</v>
      </c>
      <c r="C61" s="96" t="e">
        <f>C45</f>
        <v>#N/A</v>
      </c>
      <c r="D61" s="120">
        <f>200000*E56</f>
        <v>0</v>
      </c>
    </row>
    <row r="62" spans="1:5" hidden="1" x14ac:dyDescent="0.35">
      <c r="A62" s="4"/>
      <c r="B62" s="97" t="s">
        <v>537</v>
      </c>
      <c r="C62" s="98" t="e">
        <f>C61*C56</f>
        <v>#N/A</v>
      </c>
      <c r="D62" s="94" t="e">
        <f>C61*C56</f>
        <v>#N/A</v>
      </c>
      <c r="E62" s="94" t="e">
        <f>E56*C61</f>
        <v>#N/A</v>
      </c>
    </row>
    <row r="63" spans="1:5" ht="36" hidden="1" x14ac:dyDescent="0.35">
      <c r="A63" s="4"/>
      <c r="B63" s="99" t="s">
        <v>948</v>
      </c>
      <c r="C63" s="100" t="e">
        <f ca="1">C52</f>
        <v>#N/A</v>
      </c>
      <c r="D63" s="124"/>
    </row>
    <row r="64" spans="1:5" ht="21" hidden="1" x14ac:dyDescent="0.35">
      <c r="A64" s="4"/>
      <c r="B64" s="138"/>
      <c r="C64" s="188">
        <f>IF(C10="calendar",2.577%,2.5%)</f>
        <v>2.5000000000000001E-2</v>
      </c>
      <c r="D64" s="124"/>
    </row>
    <row r="65" spans="1:5" hidden="1" x14ac:dyDescent="0.35">
      <c r="A65" s="4"/>
      <c r="B65" s="139"/>
      <c r="C65" s="140"/>
      <c r="D65" s="94"/>
      <c r="E65" s="94"/>
    </row>
    <row r="66" spans="1:5" ht="15" hidden="1" thickBot="1" x14ac:dyDescent="0.4">
      <c r="A66" s="4"/>
      <c r="B66" s="101" t="s">
        <v>537</v>
      </c>
      <c r="C66" s="102" t="e">
        <f ca="1">C63*C64</f>
        <v>#N/A</v>
      </c>
      <c r="D66" s="94" t="e">
        <f ca="1">C52*C64=C66</f>
        <v>#N/A</v>
      </c>
    </row>
    <row r="67" spans="1:5" ht="15" hidden="1" thickTop="1" x14ac:dyDescent="0.35">
      <c r="A67" s="4"/>
      <c r="C67" s="94"/>
      <c r="D67" s="94"/>
    </row>
    <row r="68" spans="1:5" ht="15" hidden="1" thickBot="1" x14ac:dyDescent="0.4">
      <c r="A68" s="4"/>
      <c r="C68" s="94"/>
      <c r="D68" s="94"/>
    </row>
    <row r="69" spans="1:5" ht="18" hidden="1" x14ac:dyDescent="0.35">
      <c r="A69" s="4"/>
      <c r="B69" s="15" t="s">
        <v>24</v>
      </c>
      <c r="C69" s="226" t="e">
        <f ca="1">ROUNDUP((C66+C62),2)</f>
        <v>#N/A</v>
      </c>
      <c r="D69" s="126" t="e">
        <f ca="1">D66+D62</f>
        <v>#N/A</v>
      </c>
      <c r="E69" s="94"/>
    </row>
    <row r="70" spans="1:5" ht="21.5" hidden="1" thickBot="1" x14ac:dyDescent="0.4">
      <c r="A70" s="4"/>
      <c r="B70" s="9" t="s">
        <v>25</v>
      </c>
      <c r="C70" s="227" t="e">
        <f ca="1">ROUNDUP(C69*3.6725,2)</f>
        <v>#N/A</v>
      </c>
      <c r="D70" s="127"/>
    </row>
    <row r="71" spans="1:5" ht="18" hidden="1" customHeight="1" x14ac:dyDescent="0.35">
      <c r="A71" s="4"/>
    </row>
  </sheetData>
  <sheetProtection algorithmName="SHA-512" hashValue="EaGKMhnVrbxGMl1uC6Sk+qqTnKpBp+pUorAdVyQesCehKU9AHclkkCd+FnxjtZBctlR95dyl78zRwsX6Mg14uA==" saltValue="7dEKoGPzQZhW6+PmiC8+zg==" spinCount="100000" sheet="1" objects="1" scenarios="1"/>
  <mergeCells count="4">
    <mergeCell ref="B40:C40"/>
    <mergeCell ref="B6:D6"/>
    <mergeCell ref="B2:D2"/>
    <mergeCell ref="B23:D30"/>
  </mergeCells>
  <phoneticPr fontId="23" type="noConversion"/>
  <dataValidations count="3">
    <dataValidation type="list" allowBlank="1" showInputMessage="1" showErrorMessage="1" sqref="C10:C11" xr:uid="{AC106B6D-280E-4D4E-88A8-227933B20B28}">
      <formula1>"Hijri,Calendar"</formula1>
    </dataValidation>
    <dataValidation allowBlank="1" showInputMessage="1" showErrorMessage="1" sqref="C12:C15" xr:uid="{299D9700-9C0E-44C2-8A48-B37656B62124}"/>
    <dataValidation type="date" operator="lessThan" allowBlank="1" showInputMessage="1" showErrorMessage="1" error="Date format: dd/mm/yyyy_x000a_Date MUST be less than maturity date" sqref="C8" xr:uid="{079320E3-01F6-4B0B-9EFB-88B8C0509843}">
      <formula1>C53</formula1>
    </dataValidation>
  </dataValidations>
  <hyperlinks>
    <hyperlink ref="B23" location="'Zakat Report'!A1" display="View Zakat Report" xr:uid="{976DA6E0-2CC1-4B4F-83A9-147C60FB040D}"/>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2051DBC-1F85-4913-8DF8-034464E6B2B6}">
          <x14:formula1>
            <xm:f>'Sukuk Details'!A3:A152</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3DD1-0364-4165-ABAA-3C40D7C50264}">
  <dimension ref="A1:Q62"/>
  <sheetViews>
    <sheetView topLeftCell="A21" zoomScale="50" zoomScaleNormal="50" workbookViewId="0">
      <selection activeCell="C51" sqref="C51:D51"/>
    </sheetView>
  </sheetViews>
  <sheetFormatPr defaultColWidth="0" defaultRowHeight="14.5" zeroHeight="1" x14ac:dyDescent="0.35"/>
  <cols>
    <col min="1" max="1" width="5.6328125" style="5" customWidth="1"/>
    <col min="2" max="2" width="1.90625" style="5" customWidth="1"/>
    <col min="3" max="3" width="10.7265625" customWidth="1"/>
    <col min="4" max="4" width="56.1796875" style="5" customWidth="1"/>
    <col min="5" max="5" width="47.81640625" style="5" customWidth="1"/>
    <col min="6" max="6" width="39.36328125" style="5" customWidth="1"/>
    <col min="7" max="7" width="4.6328125" style="5" customWidth="1"/>
    <col min="8" max="8" width="7.54296875" style="5" customWidth="1"/>
    <col min="9" max="9" width="26" style="5" hidden="1" customWidth="1"/>
    <col min="10" max="10" width="3" style="5" hidden="1" customWidth="1"/>
    <col min="11" max="11" width="9.7265625" style="5" hidden="1" customWidth="1"/>
    <col min="12" max="12" width="9.54296875" style="5" hidden="1" customWidth="1"/>
    <col min="13" max="13" width="5.81640625" style="5" hidden="1" customWidth="1"/>
    <col min="14" max="14" width="8" style="5" hidden="1" customWidth="1"/>
    <col min="15" max="15" width="6.7265625" style="5" hidden="1" customWidth="1"/>
    <col min="16" max="16" width="5.81640625" style="5" hidden="1" customWidth="1"/>
    <col min="17" max="17" width="5.08984375" style="5" hidden="1" customWidth="1"/>
    <col min="18" max="16384" width="4.7265625" style="5" hidden="1"/>
  </cols>
  <sheetData>
    <row r="1" spans="3:7" x14ac:dyDescent="0.35">
      <c r="C1" s="4"/>
      <c r="D1" s="4"/>
      <c r="E1" s="4"/>
      <c r="F1" s="4"/>
    </row>
    <row r="2" spans="3:7" x14ac:dyDescent="0.35">
      <c r="C2" s="4"/>
      <c r="D2" s="4"/>
      <c r="E2" s="4"/>
      <c r="F2" s="4"/>
    </row>
    <row r="3" spans="3:7" x14ac:dyDescent="0.35">
      <c r="C3" s="4"/>
      <c r="D3" s="4"/>
      <c r="E3" s="4"/>
      <c r="F3" s="4"/>
    </row>
    <row r="4" spans="3:7" x14ac:dyDescent="0.35">
      <c r="C4" s="4"/>
      <c r="D4" s="4"/>
      <c r="E4" s="4"/>
      <c r="F4" s="4"/>
    </row>
    <row r="5" spans="3:7" ht="24" customHeight="1" x14ac:dyDescent="0.35">
      <c r="C5" s="4"/>
      <c r="D5" s="4"/>
      <c r="E5" s="4"/>
      <c r="F5" s="4"/>
    </row>
    <row r="6" spans="3:7" ht="65.5" customHeight="1" x14ac:dyDescent="0.35">
      <c r="C6" s="4"/>
      <c r="D6" s="269" t="s">
        <v>961</v>
      </c>
      <c r="E6" s="269"/>
      <c r="F6" s="269"/>
      <c r="G6" s="269"/>
    </row>
    <row r="7" spans="3:7" ht="3" customHeight="1" thickBot="1" x14ac:dyDescent="0.4">
      <c r="C7" s="4"/>
      <c r="D7" s="32"/>
      <c r="E7" s="31"/>
    </row>
    <row r="8" spans="3:7" ht="27.5" customHeight="1" thickTop="1" thickBot="1" x14ac:dyDescent="0.4">
      <c r="C8" s="4"/>
      <c r="D8" s="270" t="s">
        <v>536</v>
      </c>
      <c r="E8" s="271"/>
      <c r="F8" s="272"/>
    </row>
    <row r="9" spans="3:7" ht="27.5" customHeight="1" thickTop="1" x14ac:dyDescent="0.35">
      <c r="C9" s="4"/>
      <c r="D9" s="148" t="s">
        <v>957</v>
      </c>
      <c r="E9" s="175">
        <f ca="1">IFERROR(Main!C4,"")</f>
        <v>46071</v>
      </c>
      <c r="F9" s="171" t="s">
        <v>922</v>
      </c>
    </row>
    <row r="10" spans="3:7" ht="54" customHeight="1" x14ac:dyDescent="0.35">
      <c r="C10" s="4"/>
      <c r="D10" s="148" t="s">
        <v>0</v>
      </c>
      <c r="E10" s="189" t="str">
        <f>IF(Main!C12="","",IFERROR(Main!C12,""))</f>
        <v/>
      </c>
      <c r="F10" s="171" t="s">
        <v>925</v>
      </c>
    </row>
    <row r="11" spans="3:7" ht="24" x14ac:dyDescent="0.35">
      <c r="C11" s="4"/>
      <c r="D11" s="148" t="s">
        <v>544</v>
      </c>
      <c r="E11" s="185" t="str">
        <f>IF(Main!C7=0,"",Main!C7)</f>
        <v/>
      </c>
      <c r="F11" s="171" t="s">
        <v>911</v>
      </c>
    </row>
    <row r="12" spans="3:7" ht="25.5" customHeight="1" x14ac:dyDescent="0.35">
      <c r="C12" s="4"/>
      <c r="D12" s="148" t="s">
        <v>27</v>
      </c>
      <c r="E12" s="130" t="str">
        <f>Main!C13</f>
        <v/>
      </c>
      <c r="F12" s="173" t="s">
        <v>918</v>
      </c>
    </row>
    <row r="13" spans="3:7" ht="22.5" customHeight="1" x14ac:dyDescent="0.35">
      <c r="C13" s="4"/>
      <c r="D13" s="148" t="s">
        <v>545</v>
      </c>
      <c r="E13" s="170" t="str">
        <f>IFERROR(VLOOKUP(E11,'Sukuk Details'!$A$3:$P$224,9,FALSE),"")</f>
        <v/>
      </c>
      <c r="F13" s="171" t="s">
        <v>910</v>
      </c>
    </row>
    <row r="14" spans="3:7" ht="20" customHeight="1" x14ac:dyDescent="0.35">
      <c r="C14" s="4"/>
      <c r="D14" s="148" t="s">
        <v>539</v>
      </c>
      <c r="E14" s="131" t="str">
        <f>IFERROR(VLOOKUP(E11,'Sukuk Details'!$A$3:$P$224,10,FALSE),"")</f>
        <v/>
      </c>
      <c r="F14" s="171" t="s">
        <v>913</v>
      </c>
    </row>
    <row r="15" spans="3:7" ht="22" customHeight="1" thickBot="1" x14ac:dyDescent="0.4">
      <c r="C15" s="4"/>
      <c r="D15" s="149" t="s">
        <v>908</v>
      </c>
      <c r="E15" s="132" t="str">
        <f>IFERROR(VLOOKUP(E11,'Sukuk Details'!$A$3:$P$224,11,FALSE),"")</f>
        <v/>
      </c>
      <c r="F15" s="172" t="s">
        <v>912</v>
      </c>
    </row>
    <row r="16" spans="3:7" ht="7.5" customHeight="1" thickTop="1" x14ac:dyDescent="0.35">
      <c r="C16" s="4"/>
      <c r="D16" s="276"/>
      <c r="E16" s="276"/>
    </row>
    <row r="17" spans="3:17" ht="1.5" customHeight="1" x14ac:dyDescent="0.35">
      <c r="C17" s="4" t="e" vm="1">
        <v>#VALUE!</v>
      </c>
      <c r="D17" s="276"/>
      <c r="E17" s="276"/>
    </row>
    <row r="18" spans="3:17" ht="11.5" customHeight="1" thickBot="1" x14ac:dyDescent="0.4">
      <c r="C18" s="4"/>
      <c r="D18" s="276"/>
      <c r="E18" s="276"/>
    </row>
    <row r="19" spans="3:17" ht="28.5" thickTop="1" x14ac:dyDescent="0.35">
      <c r="C19" s="4"/>
      <c r="D19" s="273" t="s">
        <v>537</v>
      </c>
      <c r="E19" s="274"/>
      <c r="F19" s="275"/>
    </row>
    <row r="20" spans="3:17" ht="8" customHeight="1" x14ac:dyDescent="0.35">
      <c r="C20" s="4"/>
      <c r="D20" s="106"/>
      <c r="F20" s="107"/>
    </row>
    <row r="21" spans="3:17" ht="19.5" customHeight="1" x14ac:dyDescent="0.35">
      <c r="C21" s="4"/>
      <c r="D21" s="108" t="s">
        <v>950</v>
      </c>
      <c r="E21" s="146" t="str">
        <f>IFERROR(Main!C61,"")</f>
        <v/>
      </c>
      <c r="F21" s="114" t="s">
        <v>952</v>
      </c>
    </row>
    <row r="22" spans="3:17" ht="23.5" customHeight="1" x14ac:dyDescent="0.35">
      <c r="C22" s="4"/>
      <c r="D22" s="108" t="s">
        <v>951</v>
      </c>
      <c r="E22" s="176" t="str">
        <f ca="1">IFERROR(Main!C63,"")</f>
        <v/>
      </c>
      <c r="F22" s="114" t="s">
        <v>953</v>
      </c>
    </row>
    <row r="23" spans="3:17" ht="28" customHeight="1" x14ac:dyDescent="0.35">
      <c r="C23" s="4"/>
      <c r="D23" s="167" t="s">
        <v>20</v>
      </c>
      <c r="E23" s="177" t="str">
        <f ca="1">IFERROR(Main!C54,"")</f>
        <v/>
      </c>
      <c r="F23" s="166" t="s">
        <v>914</v>
      </c>
      <c r="I23" s="5" t="e">
        <f ca="1">(E21+E22)=E23</f>
        <v>#VALUE!</v>
      </c>
    </row>
    <row r="24" spans="3:17" ht="25.5" customHeight="1" x14ac:dyDescent="0.35">
      <c r="C24" s="4"/>
      <c r="D24" s="108" t="s">
        <v>958</v>
      </c>
      <c r="E24" s="169" t="str">
        <f>IFERROR(Main!C62,"")</f>
        <v/>
      </c>
      <c r="F24" s="114" t="s">
        <v>955</v>
      </c>
    </row>
    <row r="25" spans="3:17" ht="22" customHeight="1" x14ac:dyDescent="0.35">
      <c r="C25" s="4"/>
      <c r="D25" s="108" t="s">
        <v>960</v>
      </c>
      <c r="E25" s="147" t="str">
        <f>IFERROR(Main!C56*Main!C42,"")</f>
        <v/>
      </c>
      <c r="F25" s="114" t="s">
        <v>931</v>
      </c>
    </row>
    <row r="26" spans="3:17" ht="28" customHeight="1" x14ac:dyDescent="0.35">
      <c r="C26" s="4"/>
      <c r="D26" s="108" t="s">
        <v>959</v>
      </c>
      <c r="E26" s="169" t="str">
        <f ca="1">IFERROR(Main!C66,"")</f>
        <v/>
      </c>
      <c r="F26" s="114" t="s">
        <v>956</v>
      </c>
    </row>
    <row r="27" spans="3:17" ht="25" thickBot="1" x14ac:dyDescent="0.4">
      <c r="C27" s="4"/>
      <c r="D27" s="109" t="s">
        <v>930</v>
      </c>
      <c r="E27" s="160">
        <f>IFERROR(Main!C64,"")</f>
        <v>2.5000000000000001E-2</v>
      </c>
      <c r="F27" s="115" t="s">
        <v>954</v>
      </c>
    </row>
    <row r="28" spans="3:17" ht="14" customHeight="1" thickTop="1" thickBot="1" x14ac:dyDescent="0.4">
      <c r="C28" s="4"/>
      <c r="I28" s="5" t="e">
        <f ca="1">I29=E29</f>
        <v>#N/A</v>
      </c>
    </row>
    <row r="29" spans="3:17" ht="35.5" customHeight="1" thickTop="1" x14ac:dyDescent="0.35">
      <c r="C29" s="4"/>
      <c r="D29" s="133" t="s">
        <v>543</v>
      </c>
      <c r="E29" s="168" t="str">
        <f ca="1">IFERROR(Main!C69,"")</f>
        <v/>
      </c>
      <c r="F29" s="180" t="s">
        <v>915</v>
      </c>
      <c r="I29" s="154" t="e">
        <f>IF(E27=0.025,VLOOKUP(E11,'Sukuk Details'!$V$2:$AG$224,5,FALSE),IF(E27=0.02577,VLOOKUP(E11,'Sukuk Details'!$V$2:$AG$224,11,FALSE)))</f>
        <v>#N/A</v>
      </c>
      <c r="K29" s="5" t="e">
        <f ca="1">I29=E29</f>
        <v>#N/A</v>
      </c>
      <c r="N29" s="94">
        <f ca="1">'Sukuk Details'!Z3</f>
        <v>75.142361111111114</v>
      </c>
      <c r="O29" s="154">
        <f ca="1">'Sukuk Details'!AF3</f>
        <v>77.456745833333329</v>
      </c>
      <c r="P29" s="5" t="b">
        <f ca="1">O29=E29</f>
        <v>0</v>
      </c>
      <c r="Q29" s="5" t="b">
        <f ca="1">N29=E29</f>
        <v>0</v>
      </c>
    </row>
    <row r="30" spans="3:17" ht="47" customHeight="1" thickBot="1" x14ac:dyDescent="0.4">
      <c r="C30" s="4"/>
      <c r="D30" s="134" t="s">
        <v>542</v>
      </c>
      <c r="E30" s="178" t="str">
        <f ca="1">IFERROR(Main!C70,"")</f>
        <v/>
      </c>
      <c r="F30" s="179" t="s">
        <v>916</v>
      </c>
      <c r="I30" s="5" t="e">
        <f>IF(E27=0.025,VLOOKUP(E11,'Sukuk Details'!$V$2:$AG$224,6,FALSE),IF(E27=0.02577,VLOOKUP(E11,'Sukuk Details'!$V$2:$AG$224,12,FALSE)))</f>
        <v>#N/A</v>
      </c>
      <c r="K30" s="5" t="e">
        <f ca="1">I30=E30</f>
        <v>#N/A</v>
      </c>
      <c r="N30" s="94">
        <f ca="1">'Sukuk Details'!AA3</f>
        <v>275.96032118055558</v>
      </c>
      <c r="O30" s="154">
        <f ca="1">'Sukuk Details'!AG3</f>
        <v>284.45989907291664</v>
      </c>
      <c r="P30" s="5" t="b">
        <f ca="1">O30=E30</f>
        <v>0</v>
      </c>
      <c r="Q30" s="5" t="b">
        <f ca="1">N30=E30</f>
        <v>0</v>
      </c>
    </row>
    <row r="31" spans="3:17" ht="15" thickTop="1" x14ac:dyDescent="0.35">
      <c r="C31" s="5"/>
    </row>
    <row r="32" spans="3:17" ht="17" customHeight="1" x14ac:dyDescent="0.35">
      <c r="C32" s="5"/>
    </row>
    <row r="33" spans="3:7" ht="17" customHeight="1" x14ac:dyDescent="0.35">
      <c r="C33" s="5"/>
    </row>
    <row r="34" spans="3:7" ht="17" customHeight="1" x14ac:dyDescent="0.35">
      <c r="C34" s="5"/>
    </row>
    <row r="35" spans="3:7" ht="17" customHeight="1" x14ac:dyDescent="0.35">
      <c r="C35" s="5"/>
    </row>
    <row r="36" spans="3:7" ht="11.5" customHeight="1" x14ac:dyDescent="0.35">
      <c r="C36" s="5"/>
    </row>
    <row r="37" spans="3:7" ht="17" customHeight="1" x14ac:dyDescent="0.35">
      <c r="C37" s="5"/>
    </row>
    <row r="38" spans="3:7" ht="10" customHeight="1" x14ac:dyDescent="0.35">
      <c r="C38" s="5"/>
    </row>
    <row r="39" spans="3:7" ht="8" customHeight="1" x14ac:dyDescent="0.35">
      <c r="C39" s="5"/>
    </row>
    <row r="40" spans="3:7" ht="41.5" customHeight="1" x14ac:dyDescent="0.35">
      <c r="C40" s="5"/>
      <c r="D40" s="277" t="s">
        <v>968</v>
      </c>
      <c r="E40" s="277"/>
      <c r="F40" s="277"/>
      <c r="G40" s="277"/>
    </row>
    <row r="41" spans="3:7" ht="62" customHeight="1" x14ac:dyDescent="0.35">
      <c r="C41" s="5"/>
      <c r="D41" s="186" t="s">
        <v>731</v>
      </c>
      <c r="E41" s="182" t="str">
        <f>IFERROR(VLOOKUP(E11,'Sukuk Details'!$A$3:$P$224,11,FALSE),"")</f>
        <v/>
      </c>
      <c r="F41" s="187" t="s">
        <v>917</v>
      </c>
    </row>
    <row r="42" spans="3:7" ht="50" customHeight="1" x14ac:dyDescent="0.35">
      <c r="C42" s="279" t="str">
        <f>IFERROR(VLOOKUP(E11,'Sukuk Details'!$A$3:$P$224,16,FALSE),"")</f>
        <v/>
      </c>
      <c r="D42" s="279"/>
      <c r="E42" s="278" t="str">
        <f>IFERROR(VLOOKUP(E11,'Sukuk Details'!$A$3:$P$224,15,FALSE),"")</f>
        <v/>
      </c>
      <c r="F42" s="278"/>
      <c r="G42" s="278"/>
    </row>
    <row r="43" spans="3:7" ht="50" customHeight="1" x14ac:dyDescent="0.35">
      <c r="C43" s="279"/>
      <c r="D43" s="279"/>
      <c r="E43" s="278"/>
      <c r="F43" s="278"/>
      <c r="G43" s="278"/>
    </row>
    <row r="44" spans="3:7" ht="50" customHeight="1" x14ac:dyDescent="0.35">
      <c r="C44" s="279"/>
      <c r="D44" s="279"/>
      <c r="E44" s="278"/>
      <c r="F44" s="278"/>
      <c r="G44" s="278"/>
    </row>
    <row r="45" spans="3:7" ht="50" customHeight="1" x14ac:dyDescent="0.35">
      <c r="C45" s="279"/>
      <c r="D45" s="279"/>
      <c r="E45" s="278"/>
      <c r="F45" s="278"/>
      <c r="G45" s="278"/>
    </row>
    <row r="46" spans="3:7" ht="50" customHeight="1" x14ac:dyDescent="0.35">
      <c r="C46" s="279"/>
      <c r="D46" s="279"/>
      <c r="E46" s="278"/>
      <c r="F46" s="278"/>
      <c r="G46" s="278"/>
    </row>
    <row r="47" spans="3:7" ht="50" customHeight="1" x14ac:dyDescent="0.35">
      <c r="C47" s="279"/>
      <c r="D47" s="279"/>
      <c r="E47" s="278"/>
      <c r="F47" s="278"/>
      <c r="G47" s="278"/>
    </row>
    <row r="48" spans="3:7" ht="50" customHeight="1" x14ac:dyDescent="0.35">
      <c r="C48" s="279"/>
      <c r="D48" s="279"/>
      <c r="E48" s="278"/>
      <c r="F48" s="278"/>
      <c r="G48" s="278"/>
    </row>
    <row r="49" spans="3:7" ht="50" customHeight="1" x14ac:dyDescent="0.35">
      <c r="C49" s="279"/>
      <c r="D49" s="279"/>
      <c r="E49" s="278"/>
      <c r="F49" s="278"/>
      <c r="G49" s="278"/>
    </row>
    <row r="50" spans="3:7" ht="27.5" customHeight="1" x14ac:dyDescent="0.35">
      <c r="C50" s="279"/>
      <c r="D50" s="279"/>
      <c r="E50" s="278"/>
      <c r="F50" s="278"/>
      <c r="G50" s="278"/>
    </row>
    <row r="51" spans="3:7" ht="70.5" customHeight="1" x14ac:dyDescent="0.35">
      <c r="C51" s="280"/>
      <c r="D51" s="281"/>
      <c r="E51" s="282"/>
      <c r="F51" s="278"/>
      <c r="G51" s="278"/>
    </row>
    <row r="52" spans="3:7" ht="34" customHeight="1" x14ac:dyDescent="0.35">
      <c r="C52" s="268" t="s">
        <v>964</v>
      </c>
      <c r="D52" s="268"/>
      <c r="E52" s="267" t="s">
        <v>963</v>
      </c>
      <c r="F52" s="267"/>
    </row>
    <row r="53" spans="3:7" x14ac:dyDescent="0.35">
      <c r="C53" s="5"/>
    </row>
    <row r="54" spans="3:7" x14ac:dyDescent="0.35">
      <c r="C54" s="5"/>
    </row>
    <row r="55" spans="3:7" hidden="1" x14ac:dyDescent="0.35">
      <c r="C55" s="5"/>
    </row>
    <row r="62" spans="3:7" hidden="1" x14ac:dyDescent="0.35">
      <c r="E62" s="163"/>
    </row>
  </sheetData>
  <sheetProtection algorithmName="SHA-512" hashValue="QKBoXRqQnLatn5h8u5IgurR7KtRBH+A3OAAynYeutWaO3DbMY/saCAEa3k8igJI+ox2Nf0hAhFo1Fsx820r8ww==" saltValue="T8cJsbHdexVXNmE6pcAykw==" spinCount="100000" sheet="1" selectLockedCells="1" selectUnlockedCells="1"/>
  <mergeCells count="11">
    <mergeCell ref="E52:F52"/>
    <mergeCell ref="C52:D52"/>
    <mergeCell ref="D6:G6"/>
    <mergeCell ref="D8:F8"/>
    <mergeCell ref="D19:F19"/>
    <mergeCell ref="D16:E18"/>
    <mergeCell ref="D40:G40"/>
    <mergeCell ref="E42:G50"/>
    <mergeCell ref="C42:D50"/>
    <mergeCell ref="C51:D51"/>
    <mergeCell ref="E51:G51"/>
  </mergeCells>
  <conditionalFormatting sqref="F28">
    <cfRule type="cellIs" dxfId="2" priority="3" operator="equal">
      <formula>FALSE</formula>
    </cfRule>
  </conditionalFormatting>
  <conditionalFormatting sqref="F31">
    <cfRule type="cellIs" dxfId="1" priority="1" operator="equal">
      <formula>FALSE</formula>
    </cfRule>
    <cfRule type="cellIs" dxfId="0" priority="2" operator="equal">
      <formula>"flase"</formula>
    </cfRule>
  </conditionalFormatting>
  <pageMargins left="0.2" right="0.2" top="0.25" bottom="0.25" header="0.23" footer="0.2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F7C7-3E23-4752-80BB-237B6ACBEC60}">
  <dimension ref="A1:AH234"/>
  <sheetViews>
    <sheetView zoomScale="130" zoomScaleNormal="130" workbookViewId="0">
      <selection sqref="A1:XFD1048576"/>
    </sheetView>
  </sheetViews>
  <sheetFormatPr defaultColWidth="6.90625" defaultRowHeight="14.5" x14ac:dyDescent="0.35"/>
  <cols>
    <col min="1" max="1" width="27.54296875" customWidth="1"/>
    <col min="2" max="2" width="60.90625" customWidth="1"/>
    <col min="3" max="3" width="14.453125" customWidth="1"/>
    <col min="4" max="4" width="24.1796875" customWidth="1"/>
    <col min="5" max="7" width="16.90625" customWidth="1"/>
    <col min="8" max="8" width="12.08984375" customWidth="1"/>
    <col min="9" max="9" width="13.6328125" style="72" customWidth="1"/>
    <col min="10" max="10" width="23.54296875" customWidth="1"/>
    <col min="11" max="11" width="45.81640625" customWidth="1"/>
    <col min="12" max="12" width="71.36328125" customWidth="1"/>
    <col min="13" max="14" width="36.1796875" customWidth="1"/>
    <col min="15" max="15" width="70.453125" customWidth="1"/>
    <col min="16" max="16" width="96.81640625" customWidth="1"/>
    <col min="17" max="17" width="60.90625" customWidth="1"/>
    <col min="18" max="18" width="22.81640625" bestFit="1" customWidth="1"/>
    <col min="21" max="22" width="60.90625" customWidth="1"/>
    <col min="23" max="23" width="36.1796875" customWidth="1"/>
    <col min="24" max="24" width="36.81640625" customWidth="1"/>
    <col min="25" max="26" width="33" customWidth="1"/>
    <col min="27" max="27" width="11.7265625" customWidth="1"/>
    <col min="28" max="28" width="10.08984375" customWidth="1"/>
    <col min="29" max="29" width="31.6328125" customWidth="1"/>
    <col min="30" max="30" width="37.54296875" customWidth="1"/>
    <col min="31" max="31" width="33" customWidth="1"/>
    <col min="32" max="32" width="7.6328125" customWidth="1"/>
    <col min="33" max="33" width="10.54296875" customWidth="1"/>
  </cols>
  <sheetData>
    <row r="1" spans="1:33" ht="16" thickBot="1" x14ac:dyDescent="0.45">
      <c r="A1" s="184">
        <v>1</v>
      </c>
      <c r="B1" s="184">
        <f t="shared" ref="B1" si="0">A1+1</f>
        <v>2</v>
      </c>
      <c r="C1" s="184">
        <f>B1+1</f>
        <v>3</v>
      </c>
      <c r="D1" s="184">
        <f t="shared" ref="D1:Q1" si="1">C1+1</f>
        <v>4</v>
      </c>
      <c r="E1" s="184">
        <f t="shared" si="1"/>
        <v>5</v>
      </c>
      <c r="F1" s="184">
        <f t="shared" si="1"/>
        <v>6</v>
      </c>
      <c r="G1" s="184">
        <f t="shared" si="1"/>
        <v>7</v>
      </c>
      <c r="H1" s="184">
        <f t="shared" si="1"/>
        <v>8</v>
      </c>
      <c r="I1" s="184">
        <f t="shared" si="1"/>
        <v>9</v>
      </c>
      <c r="J1" s="184">
        <f t="shared" si="1"/>
        <v>10</v>
      </c>
      <c r="K1" s="184">
        <f t="shared" si="1"/>
        <v>11</v>
      </c>
      <c r="L1" s="184">
        <f t="shared" si="1"/>
        <v>12</v>
      </c>
      <c r="M1" s="184">
        <f t="shared" si="1"/>
        <v>13</v>
      </c>
      <c r="N1" s="184">
        <f t="shared" si="1"/>
        <v>14</v>
      </c>
      <c r="O1" s="184">
        <f t="shared" si="1"/>
        <v>15</v>
      </c>
      <c r="P1" s="184">
        <f t="shared" si="1"/>
        <v>16</v>
      </c>
      <c r="Q1" s="184">
        <f t="shared" si="1"/>
        <v>17</v>
      </c>
      <c r="U1" s="184"/>
      <c r="V1" s="184">
        <f>U1+1</f>
        <v>1</v>
      </c>
      <c r="W1" s="184">
        <f t="shared" ref="W1:AG1" si="2">V1+1</f>
        <v>2</v>
      </c>
      <c r="X1" s="184">
        <f t="shared" si="2"/>
        <v>3</v>
      </c>
      <c r="Y1" s="184">
        <f t="shared" si="2"/>
        <v>4</v>
      </c>
      <c r="Z1" s="184">
        <f t="shared" si="2"/>
        <v>5</v>
      </c>
      <c r="AA1" s="184">
        <f t="shared" si="2"/>
        <v>6</v>
      </c>
      <c r="AB1" s="184">
        <f t="shared" si="2"/>
        <v>7</v>
      </c>
      <c r="AC1" s="184">
        <f t="shared" si="2"/>
        <v>8</v>
      </c>
      <c r="AD1" s="184">
        <f t="shared" si="2"/>
        <v>9</v>
      </c>
      <c r="AE1" s="184">
        <f t="shared" si="2"/>
        <v>10</v>
      </c>
      <c r="AF1" s="184">
        <f t="shared" si="2"/>
        <v>11</v>
      </c>
      <c r="AG1" s="184">
        <f t="shared" si="2"/>
        <v>12</v>
      </c>
    </row>
    <row r="2" spans="1:33" ht="12.75" customHeight="1" thickBot="1" x14ac:dyDescent="0.4">
      <c r="A2" s="18" t="s">
        <v>544</v>
      </c>
      <c r="B2" s="18" t="s">
        <v>0</v>
      </c>
      <c r="C2" s="18" t="s">
        <v>27</v>
      </c>
      <c r="D2" s="18" t="s">
        <v>901</v>
      </c>
      <c r="E2" s="18" t="s">
        <v>553</v>
      </c>
      <c r="F2" s="18" t="s">
        <v>554</v>
      </c>
      <c r="G2" s="18" t="s">
        <v>974</v>
      </c>
      <c r="H2" s="18" t="s">
        <v>729</v>
      </c>
      <c r="I2" s="18" t="s">
        <v>552</v>
      </c>
      <c r="J2" s="18" t="s">
        <v>1</v>
      </c>
      <c r="K2" s="18" t="s">
        <v>731</v>
      </c>
      <c r="L2" s="18" t="s">
        <v>2</v>
      </c>
      <c r="M2" s="18" t="s">
        <v>906</v>
      </c>
      <c r="N2" s="18" t="s">
        <v>909</v>
      </c>
      <c r="O2" s="88" t="s">
        <v>761</v>
      </c>
      <c r="P2" s="88" t="s">
        <v>926</v>
      </c>
      <c r="Q2" s="18" t="s">
        <v>0</v>
      </c>
      <c r="R2" s="18" t="s">
        <v>974</v>
      </c>
      <c r="U2" s="18" t="s">
        <v>0</v>
      </c>
      <c r="V2" s="18"/>
      <c r="W2" s="18" t="s">
        <v>906</v>
      </c>
      <c r="X2" s="150" t="s">
        <v>898</v>
      </c>
      <c r="Y2" t="s">
        <v>948</v>
      </c>
      <c r="AC2" s="18" t="s">
        <v>906</v>
      </c>
      <c r="AD2" s="150" t="s">
        <v>898</v>
      </c>
      <c r="AE2" t="s">
        <v>948</v>
      </c>
    </row>
    <row r="3" spans="1:33" ht="43.5" x14ac:dyDescent="0.35">
      <c r="A3" s="50" t="s">
        <v>28</v>
      </c>
      <c r="B3" s="49" t="s">
        <v>674</v>
      </c>
      <c r="C3" s="19" t="s">
        <v>29</v>
      </c>
      <c r="D3" s="75">
        <f t="shared" ref="D3:D66" si="3">EDATE(E3,-6)</f>
        <v>45976</v>
      </c>
      <c r="E3" s="75" t="s">
        <v>555</v>
      </c>
      <c r="F3" s="74">
        <f t="shared" ref="F3:F66" si="4">EDATE(E3,6)</f>
        <v>46341</v>
      </c>
      <c r="G3" s="228"/>
      <c r="H3" s="19">
        <v>5.6950000000000003</v>
      </c>
      <c r="I3" s="71" t="s">
        <v>19</v>
      </c>
      <c r="J3" s="164" t="s">
        <v>6</v>
      </c>
      <c r="K3" s="164" t="s">
        <v>732</v>
      </c>
      <c r="L3" s="165" t="s">
        <v>15</v>
      </c>
      <c r="M3" s="67">
        <v>0</v>
      </c>
      <c r="N3" s="67"/>
      <c r="O3" s="87" t="s">
        <v>933</v>
      </c>
      <c r="P3" s="137" t="s">
        <v>927</v>
      </c>
      <c r="Q3" s="49" t="s">
        <v>969</v>
      </c>
      <c r="S3" t="b">
        <f>V3=A3</f>
        <v>1</v>
      </c>
      <c r="T3" t="b">
        <f>U3=B3</f>
        <v>1</v>
      </c>
      <c r="U3" s="49" t="s">
        <v>674</v>
      </c>
      <c r="V3" s="225" t="str">
        <f>A3</f>
        <v>ADIBUH 5.695 15/11/2028</v>
      </c>
      <c r="W3" s="67">
        <f>M3*0.025</f>
        <v>0</v>
      </c>
      <c r="X3" s="151">
        <f>200000*W3</f>
        <v>0</v>
      </c>
      <c r="Y3" s="152">
        <f ca="1">((Main!$C$4-D3)*(200000*(H3/100))/360)*0.025</f>
        <v>75.142361111111114</v>
      </c>
      <c r="Z3" s="152">
        <f ca="1">Y3+X3</f>
        <v>75.142361111111114</v>
      </c>
      <c r="AA3" s="153">
        <f ca="1">Z3*3.6725</f>
        <v>275.96032118055558</v>
      </c>
      <c r="AB3" s="151"/>
      <c r="AC3" s="67">
        <f>M3*0.02577</f>
        <v>0</v>
      </c>
      <c r="AD3" s="151">
        <f>200000*AC3</f>
        <v>0</v>
      </c>
      <c r="AE3">
        <f ca="1">((Main!$C$4-D3)*(200000*(H3/100))/360)*0.02577</f>
        <v>77.456745833333329</v>
      </c>
      <c r="AF3" s="152">
        <f ca="1">AE3+AD3</f>
        <v>77.456745833333329</v>
      </c>
      <c r="AG3" s="153">
        <f ca="1">AF3*3.6725</f>
        <v>284.45989907291664</v>
      </c>
    </row>
    <row r="4" spans="1:33" ht="12.75" customHeight="1" x14ac:dyDescent="0.35">
      <c r="A4" s="38" t="s">
        <v>30</v>
      </c>
      <c r="B4" s="46" t="s">
        <v>675</v>
      </c>
      <c r="C4" s="22" t="s">
        <v>31</v>
      </c>
      <c r="D4" s="75">
        <f t="shared" si="3"/>
        <v>46040</v>
      </c>
      <c r="E4" s="75" t="s">
        <v>556</v>
      </c>
      <c r="F4" s="74">
        <f t="shared" si="4"/>
        <v>46405</v>
      </c>
      <c r="G4" s="228"/>
      <c r="H4" s="19">
        <v>7.25</v>
      </c>
      <c r="I4" s="71" t="s">
        <v>19</v>
      </c>
      <c r="J4" s="2" t="s">
        <v>11</v>
      </c>
      <c r="K4" s="2" t="s">
        <v>751</v>
      </c>
      <c r="L4" s="2" t="s">
        <v>12</v>
      </c>
      <c r="M4" s="67">
        <v>1</v>
      </c>
      <c r="N4" s="105">
        <v>2.0523881661753299E-2</v>
      </c>
      <c r="O4" s="87" t="s">
        <v>937</v>
      </c>
      <c r="P4" s="141" t="s">
        <v>936</v>
      </c>
      <c r="Q4" s="46" t="s">
        <v>969</v>
      </c>
      <c r="S4" t="b">
        <f t="shared" ref="S4:S67" si="5">V4=A4</f>
        <v>1</v>
      </c>
      <c r="T4" t="b">
        <f t="shared" ref="T4:T67" si="6">U4=B4</f>
        <v>1</v>
      </c>
      <c r="U4" s="46" t="s">
        <v>675</v>
      </c>
      <c r="V4" s="225" t="str">
        <f t="shared" ref="V4:V67" si="7">A4</f>
        <v>ADIBUH 7.25 PERP</v>
      </c>
      <c r="W4" s="67">
        <f>M4*0.0205238816617533</f>
        <v>2.0523881661753299E-2</v>
      </c>
      <c r="X4" s="151">
        <f t="shared" ref="X4:X67" si="8">200000*W4</f>
        <v>4104.7763323506597</v>
      </c>
      <c r="Y4" s="152">
        <f ca="1">((Main!$C$4-D4)*(200000*(H4/100))/360)*0.025</f>
        <v>31.215277777777771</v>
      </c>
      <c r="Z4" s="152">
        <f t="shared" ref="Z4:Z67" ca="1" si="9">Y4+X4</f>
        <v>4135.9916101284371</v>
      </c>
      <c r="AA4" s="153">
        <f t="shared" ref="AA4:AA67" ca="1" si="10">Z4*3.6725</f>
        <v>15189.429188196684</v>
      </c>
      <c r="AC4" s="67">
        <f>M4*0.0205238816617533</f>
        <v>2.0523881661753299E-2</v>
      </c>
      <c r="AD4" s="151">
        <f t="shared" ref="AD4:AD67" si="11">200000*AC4</f>
        <v>4104.7763323506597</v>
      </c>
      <c r="AE4">
        <f ca="1">((Main!$C$4-D4)*(200000*(H4/100))/360)*0.02577</f>
        <v>32.17670833333333</v>
      </c>
      <c r="AF4" s="152">
        <f t="shared" ref="AF4:AF67" ca="1" si="12">AE4+AD4</f>
        <v>4136.9530406839931</v>
      </c>
      <c r="AG4" s="153">
        <f t="shared" ref="AG4:AG67" ca="1" si="13">AF4*3.6725</f>
        <v>15192.960041911963</v>
      </c>
    </row>
    <row r="5" spans="1:33" ht="12.75" customHeight="1" x14ac:dyDescent="0.35">
      <c r="A5" s="38" t="s">
        <v>33</v>
      </c>
      <c r="B5" s="46" t="s">
        <v>32</v>
      </c>
      <c r="C5" s="22" t="s">
        <v>34</v>
      </c>
      <c r="D5" s="75">
        <f t="shared" si="3"/>
        <v>45967</v>
      </c>
      <c r="E5" s="75" t="s">
        <v>557</v>
      </c>
      <c r="F5" s="74">
        <f t="shared" si="4"/>
        <v>46332</v>
      </c>
      <c r="G5" s="228"/>
      <c r="H5" s="19">
        <v>4.75</v>
      </c>
      <c r="I5" s="71" t="s">
        <v>19</v>
      </c>
      <c r="J5" s="2" t="s">
        <v>6</v>
      </c>
      <c r="K5" s="2" t="s">
        <v>733</v>
      </c>
      <c r="L5" s="2" t="s">
        <v>7</v>
      </c>
      <c r="M5" s="67">
        <v>1</v>
      </c>
      <c r="N5" s="67"/>
      <c r="O5" s="87" t="s">
        <v>941</v>
      </c>
      <c r="P5" s="137" t="s">
        <v>942</v>
      </c>
      <c r="Q5" s="46" t="s">
        <v>32</v>
      </c>
      <c r="S5" t="b">
        <f t="shared" si="5"/>
        <v>1</v>
      </c>
      <c r="T5" t="b">
        <f t="shared" si="6"/>
        <v>1</v>
      </c>
      <c r="U5" s="46" t="s">
        <v>32</v>
      </c>
      <c r="V5" s="225" t="str">
        <f t="shared" si="7"/>
        <v>ADNOC 4.75 05/06/35</v>
      </c>
      <c r="W5" s="67">
        <f t="shared" ref="W5:W68" si="14">M5*0.025</f>
        <v>2.5000000000000001E-2</v>
      </c>
      <c r="X5" s="151">
        <f t="shared" si="8"/>
        <v>5000</v>
      </c>
      <c r="Y5" s="152">
        <f ca="1">((Main!$C$4-D5)*(200000*(H5/100))/360)*0.025</f>
        <v>68.611111111111114</v>
      </c>
      <c r="Z5" s="152">
        <f t="shared" ca="1" si="9"/>
        <v>5068.6111111111113</v>
      </c>
      <c r="AA5" s="153">
        <f t="shared" ca="1" si="10"/>
        <v>18614.474305555555</v>
      </c>
      <c r="AC5" s="67">
        <f t="shared" ref="AC5:AC68" si="15">M5*0.02577</f>
        <v>2.5770000000000001E-2</v>
      </c>
      <c r="AD5" s="151">
        <f t="shared" si="11"/>
        <v>5154</v>
      </c>
      <c r="AE5">
        <f ca="1">((Main!$C$4-D5)*(200000*(H5/100))/360)*0.02577</f>
        <v>70.724333333333334</v>
      </c>
      <c r="AF5" s="152">
        <f t="shared" ca="1" si="12"/>
        <v>5224.7243333333336</v>
      </c>
      <c r="AG5" s="153">
        <f t="shared" ca="1" si="13"/>
        <v>19187.800114166668</v>
      </c>
    </row>
    <row r="6" spans="1:33" ht="12.75" customHeight="1" x14ac:dyDescent="0.35">
      <c r="A6" s="38" t="s">
        <v>36</v>
      </c>
      <c r="B6" s="46" t="s">
        <v>35</v>
      </c>
      <c r="C6" s="22" t="s">
        <v>37</v>
      </c>
      <c r="D6" s="75">
        <f t="shared" si="3"/>
        <v>45933</v>
      </c>
      <c r="E6" s="75" t="s">
        <v>558</v>
      </c>
      <c r="F6" s="74">
        <f t="shared" si="4"/>
        <v>46298</v>
      </c>
      <c r="G6" s="228"/>
      <c r="H6" s="19">
        <v>4.5</v>
      </c>
      <c r="I6" s="71" t="s">
        <v>19</v>
      </c>
      <c r="J6" s="2" t="s">
        <v>6</v>
      </c>
      <c r="K6" s="2" t="s">
        <v>762</v>
      </c>
      <c r="L6" s="64" t="s">
        <v>38</v>
      </c>
      <c r="M6" s="67">
        <v>0</v>
      </c>
      <c r="N6" s="67"/>
      <c r="O6" s="87" t="s">
        <v>933</v>
      </c>
      <c r="P6" s="137" t="s">
        <v>927</v>
      </c>
      <c r="Q6" s="46" t="s">
        <v>35</v>
      </c>
      <c r="S6" t="b">
        <f t="shared" si="5"/>
        <v>1</v>
      </c>
      <c r="T6" t="b">
        <f t="shared" si="6"/>
        <v>1</v>
      </c>
      <c r="U6" s="46" t="s">
        <v>35</v>
      </c>
      <c r="V6" s="225" t="str">
        <f t="shared" si="7"/>
        <v>AERCAP 4 ½ 10/03/29 REGS</v>
      </c>
      <c r="W6" s="67">
        <f t="shared" si="14"/>
        <v>0</v>
      </c>
      <c r="X6" s="151">
        <f t="shared" si="8"/>
        <v>0</v>
      </c>
      <c r="Y6" s="152">
        <f ca="1">((Main!$C$4-D6)*(200000*(H6/100))/360)*0.025</f>
        <v>86.25</v>
      </c>
      <c r="Z6" s="152">
        <f t="shared" ca="1" si="9"/>
        <v>86.25</v>
      </c>
      <c r="AA6" s="153">
        <f t="shared" ca="1" si="10"/>
        <v>316.75312500000001</v>
      </c>
      <c r="AC6" s="67">
        <f t="shared" si="15"/>
        <v>0</v>
      </c>
      <c r="AD6" s="151">
        <f t="shared" si="11"/>
        <v>0</v>
      </c>
      <c r="AE6">
        <f ca="1">((Main!$C$4-D6)*(200000*(H6/100))/360)*0.02577</f>
        <v>88.906500000000008</v>
      </c>
      <c r="AF6" s="152">
        <f t="shared" ca="1" si="12"/>
        <v>88.906500000000008</v>
      </c>
      <c r="AG6" s="153">
        <f t="shared" ca="1" si="13"/>
        <v>326.50912125000002</v>
      </c>
    </row>
    <row r="7" spans="1:33" ht="12.75" customHeight="1" x14ac:dyDescent="0.35">
      <c r="A7" s="38" t="s">
        <v>40</v>
      </c>
      <c r="B7" s="110" t="s">
        <v>39</v>
      </c>
      <c r="C7" s="22" t="s">
        <v>41</v>
      </c>
      <c r="D7" s="75">
        <f t="shared" si="3"/>
        <v>46008</v>
      </c>
      <c r="E7" s="75" t="s">
        <v>559</v>
      </c>
      <c r="F7" s="74">
        <f t="shared" si="4"/>
        <v>46373</v>
      </c>
      <c r="G7" s="228"/>
      <c r="H7" s="19">
        <v>3.875</v>
      </c>
      <c r="I7" s="71" t="s">
        <v>19</v>
      </c>
      <c r="J7" s="2" t="s">
        <v>11</v>
      </c>
      <c r="K7" s="2" t="s">
        <v>751</v>
      </c>
      <c r="L7" s="64" t="s">
        <v>12</v>
      </c>
      <c r="M7" s="67">
        <v>0</v>
      </c>
      <c r="N7" s="67"/>
      <c r="O7" s="87" t="s">
        <v>937</v>
      </c>
      <c r="P7" s="141" t="s">
        <v>936</v>
      </c>
      <c r="Q7" s="110" t="s">
        <v>39</v>
      </c>
      <c r="S7" t="b">
        <f t="shared" si="5"/>
        <v>1</v>
      </c>
      <c r="T7" t="b">
        <f t="shared" si="6"/>
        <v>1</v>
      </c>
      <c r="U7" s="110" t="s">
        <v>39</v>
      </c>
      <c r="V7" s="225" t="str">
        <f t="shared" si="7"/>
        <v>AHLI UNITED SK 3.875 PERP</v>
      </c>
      <c r="W7" s="67">
        <f t="shared" si="14"/>
        <v>0</v>
      </c>
      <c r="X7" s="151">
        <f t="shared" si="8"/>
        <v>0</v>
      </c>
      <c r="Y7" s="152">
        <f ca="1">((Main!$C$4-D7)*(200000*(H7/100))/360)*0.025</f>
        <v>33.90625</v>
      </c>
      <c r="Z7" s="152">
        <f t="shared" ca="1" si="9"/>
        <v>33.90625</v>
      </c>
      <c r="AA7" s="153">
        <f t="shared" ca="1" si="10"/>
        <v>124.520703125</v>
      </c>
      <c r="AC7" s="67">
        <f t="shared" si="15"/>
        <v>0</v>
      </c>
      <c r="AD7" s="151">
        <f t="shared" si="11"/>
        <v>0</v>
      </c>
      <c r="AE7">
        <f ca="1">((Main!$C$4-D7)*(200000*(H7/100))/360)*0.02577</f>
        <v>34.950562500000004</v>
      </c>
      <c r="AF7" s="152">
        <f t="shared" ca="1" si="12"/>
        <v>34.950562500000004</v>
      </c>
      <c r="AG7" s="153">
        <f t="shared" ca="1" si="13"/>
        <v>128.35594078125001</v>
      </c>
    </row>
    <row r="8" spans="1:33" ht="12.75" customHeight="1" x14ac:dyDescent="0.35">
      <c r="A8" s="38" t="s">
        <v>99</v>
      </c>
      <c r="B8" s="46" t="s">
        <v>98</v>
      </c>
      <c r="C8" s="22" t="s">
        <v>100</v>
      </c>
      <c r="D8" s="75">
        <f t="shared" si="3"/>
        <v>45909</v>
      </c>
      <c r="E8" s="75" t="s">
        <v>565</v>
      </c>
      <c r="F8" s="74">
        <f t="shared" si="4"/>
        <v>46274</v>
      </c>
      <c r="G8" s="228"/>
      <c r="H8" s="19">
        <v>2.6150000000000002</v>
      </c>
      <c r="I8" s="71" t="s">
        <v>19</v>
      </c>
      <c r="J8" s="2" t="s">
        <v>54</v>
      </c>
      <c r="K8" s="2" t="s">
        <v>760</v>
      </c>
      <c r="L8" s="1" t="s">
        <v>64</v>
      </c>
      <c r="M8" s="67">
        <v>0.49</v>
      </c>
      <c r="N8" s="67"/>
      <c r="O8" s="87" t="s">
        <v>946</v>
      </c>
      <c r="P8" s="137" t="s">
        <v>947</v>
      </c>
      <c r="Q8" s="46" t="s">
        <v>98</v>
      </c>
      <c r="S8" t="b">
        <f t="shared" si="5"/>
        <v>1</v>
      </c>
      <c r="T8" t="b">
        <f t="shared" si="6"/>
        <v>1</v>
      </c>
      <c r="U8" s="46" t="s">
        <v>98</v>
      </c>
      <c r="V8" s="225" t="str">
        <f t="shared" si="7"/>
        <v>AUBBI 2.615 09/09/26 emtn</v>
      </c>
      <c r="W8" s="67">
        <f t="shared" si="14"/>
        <v>1.225E-2</v>
      </c>
      <c r="X8" s="151">
        <f t="shared" si="8"/>
        <v>2450</v>
      </c>
      <c r="Y8" s="152">
        <f ca="1">((Main!$C$4-D8)*(200000*(H8/100))/360)*0.025</f>
        <v>58.837500000000013</v>
      </c>
      <c r="Z8" s="152">
        <f t="shared" ca="1" si="9"/>
        <v>2508.8375000000001</v>
      </c>
      <c r="AA8" s="153">
        <f t="shared" ca="1" si="10"/>
        <v>9213.7057187499995</v>
      </c>
      <c r="AC8" s="67">
        <f t="shared" si="15"/>
        <v>1.2627300000000001E-2</v>
      </c>
      <c r="AD8" s="151">
        <f t="shared" si="11"/>
        <v>2525.46</v>
      </c>
      <c r="AE8">
        <f ca="1">((Main!$C$4-D8)*(200000*(H8/100))/360)*0.02577</f>
        <v>60.649695000000015</v>
      </c>
      <c r="AF8" s="152">
        <f t="shared" ca="1" si="12"/>
        <v>2586.1096950000001</v>
      </c>
      <c r="AG8" s="153">
        <f t="shared" ca="1" si="13"/>
        <v>9497.4878548875004</v>
      </c>
    </row>
    <row r="9" spans="1:33" ht="106.5" customHeight="1" x14ac:dyDescent="0.35">
      <c r="A9" s="38" t="s">
        <v>50</v>
      </c>
      <c r="B9" s="46" t="s">
        <v>49</v>
      </c>
      <c r="C9" s="22" t="s">
        <v>51</v>
      </c>
      <c r="D9" s="75">
        <f t="shared" si="3"/>
        <v>45931</v>
      </c>
      <c r="E9" s="75" t="s">
        <v>561</v>
      </c>
      <c r="F9" s="74">
        <f t="shared" si="4"/>
        <v>46296</v>
      </c>
      <c r="G9" s="228"/>
      <c r="H9" s="19">
        <v>5.85</v>
      </c>
      <c r="I9" s="71" t="s">
        <v>19</v>
      </c>
      <c r="J9" s="2" t="s">
        <v>6</v>
      </c>
      <c r="K9" s="2" t="s">
        <v>762</v>
      </c>
      <c r="L9" s="64" t="s">
        <v>38</v>
      </c>
      <c r="M9" s="67">
        <v>0</v>
      </c>
      <c r="N9" s="67"/>
      <c r="O9" s="87" t="s">
        <v>933</v>
      </c>
      <c r="P9" s="137" t="s">
        <v>927</v>
      </c>
      <c r="Q9" s="46" t="s">
        <v>49</v>
      </c>
      <c r="S9" t="b">
        <f t="shared" si="5"/>
        <v>1</v>
      </c>
      <c r="T9" t="b">
        <f t="shared" si="6"/>
        <v>1</v>
      </c>
      <c r="U9" s="46" t="s">
        <v>49</v>
      </c>
      <c r="V9" s="225" t="str">
        <f t="shared" si="7"/>
        <v>ALC SUK 5.85 01/04/28</v>
      </c>
      <c r="W9" s="67">
        <f t="shared" si="14"/>
        <v>0</v>
      </c>
      <c r="X9" s="151">
        <f t="shared" si="8"/>
        <v>0</v>
      </c>
      <c r="Y9" s="152">
        <f ca="1">((Main!$C$4-D9)*(200000*(H9/100))/360)*0.025</f>
        <v>113.75</v>
      </c>
      <c r="Z9" s="152">
        <f t="shared" ca="1" si="9"/>
        <v>113.75</v>
      </c>
      <c r="AA9" s="153">
        <f t="shared" ca="1" si="10"/>
        <v>417.74687499999999</v>
      </c>
      <c r="AC9" s="67">
        <f t="shared" si="15"/>
        <v>0</v>
      </c>
      <c r="AD9" s="151">
        <f t="shared" si="11"/>
        <v>0</v>
      </c>
      <c r="AE9">
        <f ca="1">((Main!$C$4-D9)*(200000*(H9/100))/360)*0.02577</f>
        <v>117.2535</v>
      </c>
      <c r="AF9" s="152">
        <f t="shared" ca="1" si="12"/>
        <v>117.2535</v>
      </c>
      <c r="AG9" s="153">
        <f t="shared" ca="1" si="13"/>
        <v>430.61347875000001</v>
      </c>
    </row>
    <row r="10" spans="1:33" ht="188.5" x14ac:dyDescent="0.35">
      <c r="A10" s="38" t="s">
        <v>43</v>
      </c>
      <c r="B10" s="46" t="s">
        <v>42</v>
      </c>
      <c r="C10" s="22" t="s">
        <v>44</v>
      </c>
      <c r="D10" s="75">
        <f t="shared" si="3"/>
        <v>45960</v>
      </c>
      <c r="E10" s="75" t="s">
        <v>562</v>
      </c>
      <c r="F10" s="74">
        <f t="shared" si="4"/>
        <v>46325</v>
      </c>
      <c r="G10" s="229"/>
      <c r="H10" s="19">
        <v>5.125</v>
      </c>
      <c r="I10" s="71" t="s">
        <v>19</v>
      </c>
      <c r="J10" s="158" t="s">
        <v>6</v>
      </c>
      <c r="K10" s="162" t="s">
        <v>732</v>
      </c>
      <c r="L10" s="159" t="s">
        <v>45</v>
      </c>
      <c r="M10" s="67">
        <v>0.66669999999999996</v>
      </c>
      <c r="N10" s="67"/>
      <c r="O10" s="161" t="s">
        <v>949</v>
      </c>
      <c r="P10" s="174" t="s">
        <v>962</v>
      </c>
      <c r="Q10" s="46" t="s">
        <v>42</v>
      </c>
      <c r="S10" t="b">
        <f t="shared" si="5"/>
        <v>1</v>
      </c>
      <c r="T10" t="b">
        <f t="shared" si="6"/>
        <v>1</v>
      </c>
      <c r="U10" s="46" t="s">
        <v>42</v>
      </c>
      <c r="V10" s="225" t="str">
        <f t="shared" si="7"/>
        <v>AJMNSS 5.125 04/30/30</v>
      </c>
      <c r="W10" s="67">
        <f t="shared" si="14"/>
        <v>1.6667499999999998E-2</v>
      </c>
      <c r="X10" s="151">
        <f t="shared" si="8"/>
        <v>3333.4999999999995</v>
      </c>
      <c r="Y10" s="152">
        <f ca="1">((Main!$C$4-D10)*(200000*(H10/100))/360)*0.025</f>
        <v>79.010416666666671</v>
      </c>
      <c r="Z10" s="152">
        <f t="shared" ca="1" si="9"/>
        <v>3412.5104166666661</v>
      </c>
      <c r="AA10" s="153">
        <f t="shared" ca="1" si="10"/>
        <v>12532.44450520833</v>
      </c>
      <c r="AC10" s="67">
        <f t="shared" si="15"/>
        <v>1.7180859E-2</v>
      </c>
      <c r="AD10" s="151">
        <f t="shared" si="11"/>
        <v>3436.1718000000001</v>
      </c>
      <c r="AE10">
        <f ca="1">((Main!$C$4-D10)*(200000*(H10/100))/360)*0.02577</f>
        <v>81.443937500000004</v>
      </c>
      <c r="AF10" s="152">
        <f t="shared" ca="1" si="12"/>
        <v>3517.6157375000003</v>
      </c>
      <c r="AG10" s="153">
        <f t="shared" ca="1" si="13"/>
        <v>12918.443795968751</v>
      </c>
    </row>
    <row r="11" spans="1:33" ht="12.75" customHeight="1" x14ac:dyDescent="0.35">
      <c r="A11" s="38" t="s">
        <v>105</v>
      </c>
      <c r="B11" s="46" t="s">
        <v>13</v>
      </c>
      <c r="C11" s="22" t="s">
        <v>106</v>
      </c>
      <c r="D11" s="75">
        <f t="shared" si="3"/>
        <v>45991</v>
      </c>
      <c r="E11" s="75" t="s">
        <v>563</v>
      </c>
      <c r="F11" s="74">
        <f t="shared" si="4"/>
        <v>46356</v>
      </c>
      <c r="G11" s="229"/>
      <c r="H11" s="19">
        <v>8.7750000000000004</v>
      </c>
      <c r="I11" s="71" t="s">
        <v>19</v>
      </c>
      <c r="J11" s="2" t="s">
        <v>11</v>
      </c>
      <c r="K11" s="2" t="s">
        <v>751</v>
      </c>
      <c r="L11" s="2" t="s">
        <v>12</v>
      </c>
      <c r="M11" s="67">
        <v>1</v>
      </c>
      <c r="N11" s="67"/>
      <c r="O11" s="87" t="s">
        <v>937</v>
      </c>
      <c r="P11" s="141" t="s">
        <v>936</v>
      </c>
      <c r="Q11" s="46" t="s">
        <v>13</v>
      </c>
      <c r="S11" t="b">
        <f t="shared" si="5"/>
        <v>1</v>
      </c>
      <c r="T11" t="b">
        <f t="shared" si="6"/>
        <v>1</v>
      </c>
      <c r="U11" s="46" t="s">
        <v>13</v>
      </c>
      <c r="V11" s="225" t="str">
        <f t="shared" si="7"/>
        <v>BARKAB 8.775 31MAY26</v>
      </c>
      <c r="W11" s="67">
        <f t="shared" si="14"/>
        <v>2.5000000000000001E-2</v>
      </c>
      <c r="X11" s="151">
        <f t="shared" si="8"/>
        <v>5000</v>
      </c>
      <c r="Y11" s="152">
        <f ca="1">((Main!$C$4-D11)*(200000*(H11/100))/360)*0.025</f>
        <v>97.5</v>
      </c>
      <c r="Z11" s="152">
        <f t="shared" ca="1" si="9"/>
        <v>5097.5</v>
      </c>
      <c r="AA11" s="153">
        <f t="shared" ca="1" si="10"/>
        <v>18720.568749999999</v>
      </c>
      <c r="AC11" s="67">
        <f t="shared" si="15"/>
        <v>2.5770000000000001E-2</v>
      </c>
      <c r="AD11" s="151">
        <f t="shared" si="11"/>
        <v>5154</v>
      </c>
      <c r="AE11">
        <f ca="1">((Main!$C$4-D11)*(200000*(H11/100))/360)*0.02577</f>
        <v>100.503</v>
      </c>
      <c r="AF11" s="152">
        <f t="shared" ca="1" si="12"/>
        <v>5254.5029999999997</v>
      </c>
      <c r="AG11" s="153">
        <f t="shared" ca="1" si="13"/>
        <v>19297.1622675</v>
      </c>
    </row>
    <row r="12" spans="1:33" ht="12.75" customHeight="1" x14ac:dyDescent="0.35">
      <c r="A12" s="77" t="s">
        <v>426</v>
      </c>
      <c r="B12" s="110" t="s">
        <v>676</v>
      </c>
      <c r="C12" s="78" t="s">
        <v>427</v>
      </c>
      <c r="D12" s="75">
        <f t="shared" si="3"/>
        <v>46043</v>
      </c>
      <c r="E12" s="75" t="s">
        <v>566</v>
      </c>
      <c r="F12" s="74">
        <f t="shared" si="4"/>
        <v>46408</v>
      </c>
      <c r="G12" s="229"/>
      <c r="H12" s="19">
        <v>6.25</v>
      </c>
      <c r="I12" s="71" t="s">
        <v>19</v>
      </c>
      <c r="J12" s="2" t="s">
        <v>11</v>
      </c>
      <c r="K12" s="2" t="s">
        <v>751</v>
      </c>
      <c r="L12" s="2" t="s">
        <v>12</v>
      </c>
      <c r="M12" s="67">
        <v>0</v>
      </c>
      <c r="N12" s="67"/>
      <c r="O12" s="87" t="s">
        <v>937</v>
      </c>
      <c r="P12" s="141" t="s">
        <v>936</v>
      </c>
      <c r="Q12" s="110" t="s">
        <v>976</v>
      </c>
      <c r="S12" t="b">
        <f t="shared" si="5"/>
        <v>1</v>
      </c>
      <c r="T12" t="b">
        <f t="shared" si="6"/>
        <v>1</v>
      </c>
      <c r="U12" s="110" t="s">
        <v>676</v>
      </c>
      <c r="V12" s="225" t="str">
        <f t="shared" si="7"/>
        <v>RJHIAB 6.25 21/07/2030</v>
      </c>
      <c r="W12" s="67">
        <f t="shared" si="14"/>
        <v>0</v>
      </c>
      <c r="X12" s="151">
        <f t="shared" si="8"/>
        <v>0</v>
      </c>
      <c r="Y12" s="152">
        <f ca="1">((Main!$C$4-D12)*(200000*(H12/100))/360)*0.025</f>
        <v>24.305555555555557</v>
      </c>
      <c r="Z12" s="152">
        <f t="shared" ca="1" si="9"/>
        <v>24.305555555555557</v>
      </c>
      <c r="AA12" s="153">
        <f t="shared" ca="1" si="10"/>
        <v>89.262152777777786</v>
      </c>
      <c r="AC12" s="67">
        <f t="shared" si="15"/>
        <v>0</v>
      </c>
      <c r="AD12" s="151">
        <f t="shared" si="11"/>
        <v>0</v>
      </c>
      <c r="AE12">
        <f ca="1">((Main!$C$4-D12)*(200000*(H12/100))/360)*0.02577</f>
        <v>25.054166666666667</v>
      </c>
      <c r="AF12" s="152">
        <f t="shared" ca="1" si="12"/>
        <v>25.054166666666667</v>
      </c>
      <c r="AG12" s="153">
        <f t="shared" ca="1" si="13"/>
        <v>92.011427083333331</v>
      </c>
    </row>
    <row r="13" spans="1:33" ht="12.75" customHeight="1" x14ac:dyDescent="0.35">
      <c r="A13" s="38" t="s">
        <v>422</v>
      </c>
      <c r="B13" s="46" t="s">
        <v>677</v>
      </c>
      <c r="C13" s="22" t="s">
        <v>423</v>
      </c>
      <c r="D13" s="75">
        <f t="shared" si="3"/>
        <v>45980</v>
      </c>
      <c r="E13" s="75" t="s">
        <v>575</v>
      </c>
      <c r="F13" s="74">
        <f t="shared" si="4"/>
        <v>46345</v>
      </c>
      <c r="G13" s="228"/>
      <c r="H13" s="19">
        <v>4.8650000000000002</v>
      </c>
      <c r="I13" s="71" t="s">
        <v>19</v>
      </c>
      <c r="J13" s="2" t="s">
        <v>54</v>
      </c>
      <c r="K13" s="2" t="s">
        <v>760</v>
      </c>
      <c r="L13" s="1" t="s">
        <v>338</v>
      </c>
      <c r="M13" s="67">
        <v>0.49</v>
      </c>
      <c r="N13" s="67"/>
      <c r="O13" s="87" t="s">
        <v>946</v>
      </c>
      <c r="P13" s="137" t="s">
        <v>947</v>
      </c>
      <c r="Q13" s="46" t="s">
        <v>977</v>
      </c>
      <c r="S13" t="b">
        <f t="shared" si="5"/>
        <v>1</v>
      </c>
      <c r="T13" t="b">
        <f t="shared" si="6"/>
        <v>1</v>
      </c>
      <c r="U13" s="46" t="s">
        <v>677</v>
      </c>
      <c r="V13" s="225" t="str">
        <f t="shared" si="7"/>
        <v>RJHIAB 4.865 19-05-2030</v>
      </c>
      <c r="W13" s="67">
        <f t="shared" si="14"/>
        <v>1.225E-2</v>
      </c>
      <c r="X13" s="151">
        <f t="shared" si="8"/>
        <v>2450</v>
      </c>
      <c r="Y13" s="152">
        <f ca="1">((Main!$C$4-D13)*(200000*(H13/100))/360)*0.025</f>
        <v>61.488194444444446</v>
      </c>
      <c r="Z13" s="152">
        <f t="shared" ca="1" si="9"/>
        <v>2511.4881944444446</v>
      </c>
      <c r="AA13" s="153">
        <f t="shared" ca="1" si="10"/>
        <v>9223.4403940972225</v>
      </c>
      <c r="AC13" s="67">
        <f t="shared" si="15"/>
        <v>1.2627300000000001E-2</v>
      </c>
      <c r="AD13" s="151">
        <f t="shared" si="11"/>
        <v>2525.46</v>
      </c>
      <c r="AE13">
        <f ca="1">((Main!$C$4-D13)*(200000*(H13/100))/360)*0.02577</f>
        <v>63.382030833333339</v>
      </c>
      <c r="AF13" s="152">
        <f t="shared" ca="1" si="12"/>
        <v>2588.8420308333334</v>
      </c>
      <c r="AG13" s="153">
        <f t="shared" ca="1" si="13"/>
        <v>9507.5223582354174</v>
      </c>
    </row>
    <row r="14" spans="1:33" ht="12.75" customHeight="1" x14ac:dyDescent="0.35">
      <c r="A14" s="38" t="s">
        <v>428</v>
      </c>
      <c r="B14" s="110" t="s">
        <v>715</v>
      </c>
      <c r="C14" s="22" t="s">
        <v>429</v>
      </c>
      <c r="D14" s="75">
        <f t="shared" si="3"/>
        <v>45977</v>
      </c>
      <c r="E14" s="75" t="s">
        <v>567</v>
      </c>
      <c r="F14" s="74">
        <f t="shared" si="4"/>
        <v>46342</v>
      </c>
      <c r="G14" s="228"/>
      <c r="H14" s="19">
        <v>6.375</v>
      </c>
      <c r="I14" s="71" t="s">
        <v>19</v>
      </c>
      <c r="J14" s="2" t="s">
        <v>11</v>
      </c>
      <c r="K14" s="2" t="s">
        <v>751</v>
      </c>
      <c r="L14" s="2" t="s">
        <v>12</v>
      </c>
      <c r="M14" s="67">
        <v>0</v>
      </c>
      <c r="N14" s="67"/>
      <c r="O14" s="87" t="s">
        <v>937</v>
      </c>
      <c r="P14" s="141" t="s">
        <v>936</v>
      </c>
      <c r="Q14" s="110" t="s">
        <v>977</v>
      </c>
      <c r="S14" t="b">
        <f t="shared" si="5"/>
        <v>1</v>
      </c>
      <c r="T14" t="b">
        <f t="shared" si="6"/>
        <v>1</v>
      </c>
      <c r="U14" s="110" t="s">
        <v>715</v>
      </c>
      <c r="V14" s="225" t="str">
        <f t="shared" si="7"/>
        <v>RJHIAB 6.375 16/05/2029</v>
      </c>
      <c r="W14" s="67">
        <f t="shared" si="14"/>
        <v>0</v>
      </c>
      <c r="X14" s="151">
        <f t="shared" si="8"/>
        <v>0</v>
      </c>
      <c r="Y14" s="152">
        <f ca="1">((Main!$C$4-D14)*(200000*(H14/100))/360)*0.025</f>
        <v>83.229166666666671</v>
      </c>
      <c r="Z14" s="152">
        <f t="shared" ca="1" si="9"/>
        <v>83.229166666666671</v>
      </c>
      <c r="AA14" s="153">
        <f t="shared" ca="1" si="10"/>
        <v>305.65911458333335</v>
      </c>
      <c r="AC14" s="67">
        <f t="shared" si="15"/>
        <v>0</v>
      </c>
      <c r="AD14" s="151">
        <f t="shared" si="11"/>
        <v>0</v>
      </c>
      <c r="AE14">
        <f ca="1">((Main!$C$4-D14)*(200000*(H14/100))/360)*0.02577</f>
        <v>85.792625000000001</v>
      </c>
      <c r="AF14" s="152">
        <f t="shared" ca="1" si="12"/>
        <v>85.792625000000001</v>
      </c>
      <c r="AG14" s="153">
        <f t="shared" ca="1" si="13"/>
        <v>315.0734153125</v>
      </c>
    </row>
    <row r="15" spans="1:33" ht="12.75" customHeight="1" x14ac:dyDescent="0.35">
      <c r="A15" s="38" t="s">
        <v>424</v>
      </c>
      <c r="B15" s="46" t="s">
        <v>716</v>
      </c>
      <c r="C15" s="22" t="s">
        <v>425</v>
      </c>
      <c r="D15" s="75">
        <f t="shared" si="3"/>
        <v>45912</v>
      </c>
      <c r="E15" s="75" t="s">
        <v>576</v>
      </c>
      <c r="F15" s="74">
        <f t="shared" si="4"/>
        <v>46277</v>
      </c>
      <c r="G15" s="228"/>
      <c r="H15" s="19">
        <v>5.0469999999999997</v>
      </c>
      <c r="I15" s="71" t="s">
        <v>19</v>
      </c>
      <c r="J15" s="2" t="s">
        <v>54</v>
      </c>
      <c r="K15" s="2" t="s">
        <v>760</v>
      </c>
      <c r="L15" s="1" t="s">
        <v>338</v>
      </c>
      <c r="M15" s="67">
        <v>0.49</v>
      </c>
      <c r="N15" s="67"/>
      <c r="O15" s="87" t="s">
        <v>946</v>
      </c>
      <c r="P15" s="137" t="s">
        <v>947</v>
      </c>
      <c r="Q15" s="46" t="s">
        <v>977</v>
      </c>
      <c r="S15" t="b">
        <f t="shared" si="5"/>
        <v>1</v>
      </c>
      <c r="T15" t="b">
        <f t="shared" si="6"/>
        <v>1</v>
      </c>
      <c r="U15" s="46" t="s">
        <v>716</v>
      </c>
      <c r="V15" s="225" t="str">
        <f t="shared" si="7"/>
        <v>RJHIAB 5.047 12-03-2029</v>
      </c>
      <c r="W15" s="67">
        <f t="shared" si="14"/>
        <v>1.225E-2</v>
      </c>
      <c r="X15" s="151">
        <f t="shared" si="8"/>
        <v>2450</v>
      </c>
      <c r="Y15" s="152">
        <f ca="1">((Main!$C$4-D15)*(200000*(H15/100))/360)*0.025</f>
        <v>111.45458333333332</v>
      </c>
      <c r="Z15" s="152">
        <f t="shared" ca="1" si="9"/>
        <v>2561.4545833333332</v>
      </c>
      <c r="AA15" s="153">
        <f t="shared" ca="1" si="10"/>
        <v>9406.9419572916649</v>
      </c>
      <c r="AC15" s="67">
        <f t="shared" si="15"/>
        <v>1.2627300000000001E-2</v>
      </c>
      <c r="AD15" s="151">
        <f t="shared" si="11"/>
        <v>2525.46</v>
      </c>
      <c r="AE15">
        <f ca="1">((Main!$C$4-D15)*(200000*(H15/100))/360)*0.02577</f>
        <v>114.88738449999998</v>
      </c>
      <c r="AF15" s="152">
        <f t="shared" ca="1" si="12"/>
        <v>2640.3473844999999</v>
      </c>
      <c r="AG15" s="153">
        <f t="shared" ca="1" si="13"/>
        <v>9696.6757695762499</v>
      </c>
    </row>
    <row r="16" spans="1:33" ht="12.75" customHeight="1" x14ac:dyDescent="0.35">
      <c r="A16" s="38" t="s">
        <v>52</v>
      </c>
      <c r="B16" s="46" t="s">
        <v>717</v>
      </c>
      <c r="C16" s="22" t="s">
        <v>53</v>
      </c>
      <c r="D16" s="75">
        <f t="shared" si="3"/>
        <v>45985</v>
      </c>
      <c r="E16" s="75" t="s">
        <v>643</v>
      </c>
      <c r="F16" s="74">
        <f t="shared" si="4"/>
        <v>46350</v>
      </c>
      <c r="G16" s="228"/>
      <c r="H16" s="19">
        <f>4+7/8</f>
        <v>4.875</v>
      </c>
      <c r="I16" s="71" t="s">
        <v>19</v>
      </c>
      <c r="J16" s="2" t="s">
        <v>54</v>
      </c>
      <c r="K16" s="2" t="s">
        <v>759</v>
      </c>
      <c r="L16" s="23" t="s">
        <v>55</v>
      </c>
      <c r="M16" s="67">
        <v>0.45</v>
      </c>
      <c r="N16" s="67"/>
      <c r="O16" s="87" t="s">
        <v>946</v>
      </c>
      <c r="P16" s="137" t="s">
        <v>947</v>
      </c>
      <c r="Q16" s="46" t="s">
        <v>978</v>
      </c>
      <c r="S16" t="b">
        <f t="shared" si="5"/>
        <v>1</v>
      </c>
      <c r="T16" t="b">
        <f t="shared" si="6"/>
        <v>1</v>
      </c>
      <c r="U16" s="46" t="s">
        <v>717</v>
      </c>
      <c r="V16" s="225" t="str">
        <f t="shared" si="7"/>
        <v>ALDAR 4 ⅞ 05/24/33</v>
      </c>
      <c r="W16" s="67">
        <f t="shared" si="14"/>
        <v>1.1250000000000001E-2</v>
      </c>
      <c r="X16" s="151">
        <f t="shared" si="8"/>
        <v>2250.0000000000005</v>
      </c>
      <c r="Y16" s="152">
        <f ca="1">((Main!$C$4-D16)*(200000*(H16/100))/360)*0.025</f>
        <v>58.229166666666664</v>
      </c>
      <c r="Z16" s="152">
        <f t="shared" ca="1" si="9"/>
        <v>2308.229166666667</v>
      </c>
      <c r="AA16" s="153">
        <f t="shared" ca="1" si="10"/>
        <v>8476.9716145833336</v>
      </c>
      <c r="AC16" s="67">
        <f t="shared" si="15"/>
        <v>1.1596500000000001E-2</v>
      </c>
      <c r="AD16" s="151">
        <f t="shared" si="11"/>
        <v>2319.3000000000002</v>
      </c>
      <c r="AE16">
        <f ca="1">((Main!$C$4-D16)*(200000*(H16/100))/360)*0.02577</f>
        <v>60.022624999999998</v>
      </c>
      <c r="AF16" s="152">
        <f t="shared" ca="1" si="12"/>
        <v>2379.3226250000002</v>
      </c>
      <c r="AG16" s="153">
        <f t="shared" ca="1" si="13"/>
        <v>8738.062340312501</v>
      </c>
    </row>
    <row r="17" spans="1:33" ht="12.75" customHeight="1" x14ac:dyDescent="0.35">
      <c r="A17" s="38" t="s">
        <v>56</v>
      </c>
      <c r="B17" s="46" t="s">
        <v>718</v>
      </c>
      <c r="C17" s="22" t="s">
        <v>57</v>
      </c>
      <c r="D17" s="75">
        <f t="shared" si="3"/>
        <v>45925</v>
      </c>
      <c r="E17" s="75" t="s">
        <v>631</v>
      </c>
      <c r="F17" s="74">
        <f t="shared" si="4"/>
        <v>46290</v>
      </c>
      <c r="G17" s="228"/>
      <c r="H17" s="19">
        <v>5.25</v>
      </c>
      <c r="I17" s="71" t="s">
        <v>19</v>
      </c>
      <c r="J17" s="2" t="s">
        <v>54</v>
      </c>
      <c r="K17" s="2" t="s">
        <v>759</v>
      </c>
      <c r="L17" s="23" t="s">
        <v>55</v>
      </c>
      <c r="M17" s="67">
        <v>0.45</v>
      </c>
      <c r="N17" s="67"/>
      <c r="O17" s="87" t="s">
        <v>946</v>
      </c>
      <c r="P17" s="137" t="s">
        <v>947</v>
      </c>
      <c r="Q17" s="46" t="s">
        <v>978</v>
      </c>
      <c r="S17" t="b">
        <f t="shared" si="5"/>
        <v>1</v>
      </c>
      <c r="T17" t="b">
        <f t="shared" si="6"/>
        <v>1</v>
      </c>
      <c r="U17" s="46" t="s">
        <v>718</v>
      </c>
      <c r="V17" s="225" t="str">
        <f t="shared" si="7"/>
        <v>ALDAR 5.25 25/03/2035</v>
      </c>
      <c r="W17" s="67">
        <f t="shared" si="14"/>
        <v>1.1250000000000001E-2</v>
      </c>
      <c r="X17" s="151">
        <f t="shared" si="8"/>
        <v>2250.0000000000005</v>
      </c>
      <c r="Y17" s="152">
        <f ca="1">((Main!$C$4-D17)*(200000*(H17/100))/360)*0.025</f>
        <v>106.45833333333333</v>
      </c>
      <c r="Z17" s="152">
        <f t="shared" ca="1" si="9"/>
        <v>2356.4583333333339</v>
      </c>
      <c r="AA17" s="153">
        <f t="shared" ca="1" si="10"/>
        <v>8654.0932291666686</v>
      </c>
      <c r="AC17" s="67">
        <f t="shared" si="15"/>
        <v>1.1596500000000001E-2</v>
      </c>
      <c r="AD17" s="151">
        <f t="shared" si="11"/>
        <v>2319.3000000000002</v>
      </c>
      <c r="AE17">
        <f ca="1">((Main!$C$4-D17)*(200000*(H17/100))/360)*0.02577</f>
        <v>109.73725</v>
      </c>
      <c r="AF17" s="152">
        <f t="shared" ca="1" si="12"/>
        <v>2429.0372500000003</v>
      </c>
      <c r="AG17" s="153">
        <f t="shared" ca="1" si="13"/>
        <v>8920.639300625</v>
      </c>
    </row>
    <row r="18" spans="1:33" ht="12.75" customHeight="1" x14ac:dyDescent="0.35">
      <c r="A18" s="38" t="s">
        <v>58</v>
      </c>
      <c r="B18" s="46" t="s">
        <v>719</v>
      </c>
      <c r="C18" s="22" t="s">
        <v>59</v>
      </c>
      <c r="D18" s="75">
        <f t="shared" si="3"/>
        <v>45977</v>
      </c>
      <c r="E18" s="75" t="s">
        <v>567</v>
      </c>
      <c r="F18" s="74">
        <f t="shared" si="4"/>
        <v>46342</v>
      </c>
      <c r="G18" s="228"/>
      <c r="H18" s="19">
        <v>5.5</v>
      </c>
      <c r="I18" s="71" t="s">
        <v>19</v>
      </c>
      <c r="J18" s="2" t="s">
        <v>54</v>
      </c>
      <c r="K18" s="2" t="s">
        <v>759</v>
      </c>
      <c r="L18" s="23" t="s">
        <v>55</v>
      </c>
      <c r="M18" s="67">
        <v>0.45</v>
      </c>
      <c r="N18" s="67"/>
      <c r="O18" s="87" t="s">
        <v>946</v>
      </c>
      <c r="P18" s="137" t="s">
        <v>947</v>
      </c>
      <c r="Q18" s="46" t="s">
        <v>978</v>
      </c>
      <c r="S18" t="b">
        <f t="shared" si="5"/>
        <v>1</v>
      </c>
      <c r="T18" t="b">
        <f t="shared" si="6"/>
        <v>1</v>
      </c>
      <c r="U18" s="46" t="s">
        <v>719</v>
      </c>
      <c r="V18" s="225" t="str">
        <f t="shared" si="7"/>
        <v>ALDAR 5.5 16/05/34</v>
      </c>
      <c r="W18" s="67">
        <f t="shared" si="14"/>
        <v>1.1250000000000001E-2</v>
      </c>
      <c r="X18" s="151">
        <f t="shared" si="8"/>
        <v>2250.0000000000005</v>
      </c>
      <c r="Y18" s="152">
        <f ca="1">((Main!$C$4-D18)*(200000*(H18/100))/360)*0.025</f>
        <v>71.805555555555557</v>
      </c>
      <c r="Z18" s="152">
        <f t="shared" ca="1" si="9"/>
        <v>2321.8055555555561</v>
      </c>
      <c r="AA18" s="153">
        <f t="shared" ca="1" si="10"/>
        <v>8526.8309027777796</v>
      </c>
      <c r="AC18" s="67">
        <f t="shared" si="15"/>
        <v>1.1596500000000001E-2</v>
      </c>
      <c r="AD18" s="151">
        <f t="shared" si="11"/>
        <v>2319.3000000000002</v>
      </c>
      <c r="AE18">
        <f ca="1">((Main!$C$4-D18)*(200000*(H18/100))/360)*0.02577</f>
        <v>74.017166666666668</v>
      </c>
      <c r="AF18" s="152">
        <f t="shared" ca="1" si="12"/>
        <v>2393.3171666666667</v>
      </c>
      <c r="AG18" s="153">
        <f t="shared" ca="1" si="13"/>
        <v>8789.4572945833334</v>
      </c>
    </row>
    <row r="19" spans="1:33" ht="12.75" customHeight="1" x14ac:dyDescent="0.35">
      <c r="A19" s="38" t="s">
        <v>60</v>
      </c>
      <c r="B19" s="46" t="s">
        <v>720</v>
      </c>
      <c r="C19" s="22" t="s">
        <v>61</v>
      </c>
      <c r="D19" s="75">
        <f t="shared" si="3"/>
        <v>45952</v>
      </c>
      <c r="E19" s="75" t="s">
        <v>584</v>
      </c>
      <c r="F19" s="74">
        <f t="shared" si="4"/>
        <v>46317</v>
      </c>
      <c r="G19" s="228"/>
      <c r="H19" s="19">
        <v>3.875</v>
      </c>
      <c r="I19" s="71" t="s">
        <v>19</v>
      </c>
      <c r="J19" s="2" t="s">
        <v>54</v>
      </c>
      <c r="K19" s="2" t="s">
        <v>759</v>
      </c>
      <c r="L19" s="23" t="s">
        <v>55</v>
      </c>
      <c r="M19" s="67">
        <v>0.45</v>
      </c>
      <c r="N19" s="67"/>
      <c r="O19" s="87" t="s">
        <v>946</v>
      </c>
      <c r="P19" s="137" t="s">
        <v>947</v>
      </c>
      <c r="Q19" s="46" t="s">
        <v>978</v>
      </c>
      <c r="S19" t="b">
        <f t="shared" si="5"/>
        <v>1</v>
      </c>
      <c r="T19" t="b">
        <f t="shared" si="6"/>
        <v>1</v>
      </c>
      <c r="U19" s="46" t="s">
        <v>720</v>
      </c>
      <c r="V19" s="225" t="str">
        <f t="shared" si="7"/>
        <v>ALDAR SUKUK -3.875-10/29</v>
      </c>
      <c r="W19" s="67">
        <f t="shared" si="14"/>
        <v>1.1250000000000001E-2</v>
      </c>
      <c r="X19" s="151">
        <f t="shared" si="8"/>
        <v>2250.0000000000005</v>
      </c>
      <c r="Y19" s="152">
        <f ca="1">((Main!$C$4-D19)*(200000*(H19/100))/360)*0.025</f>
        <v>64.0451388888889</v>
      </c>
      <c r="Z19" s="152">
        <f t="shared" ca="1" si="9"/>
        <v>2314.0451388888891</v>
      </c>
      <c r="AA19" s="153">
        <f t="shared" ca="1" si="10"/>
        <v>8498.3307725694449</v>
      </c>
      <c r="AC19" s="67">
        <f t="shared" si="15"/>
        <v>1.1596500000000001E-2</v>
      </c>
      <c r="AD19" s="151">
        <f t="shared" si="11"/>
        <v>2319.3000000000002</v>
      </c>
      <c r="AE19">
        <f ca="1">((Main!$C$4-D19)*(200000*(H19/100))/360)*0.02577</f>
        <v>66.017729166666669</v>
      </c>
      <c r="AF19" s="152">
        <f t="shared" ca="1" si="12"/>
        <v>2385.317729166667</v>
      </c>
      <c r="AG19" s="153">
        <f t="shared" ca="1" si="13"/>
        <v>8760.0793603645852</v>
      </c>
    </row>
    <row r="20" spans="1:33" ht="12.75" customHeight="1" x14ac:dyDescent="0.35">
      <c r="A20" s="38" t="s">
        <v>62</v>
      </c>
      <c r="B20" s="46" t="s">
        <v>681</v>
      </c>
      <c r="C20" s="22" t="s">
        <v>63</v>
      </c>
      <c r="D20" s="75">
        <f t="shared" si="3"/>
        <v>46037</v>
      </c>
      <c r="E20" s="75" t="s">
        <v>568</v>
      </c>
      <c r="F20" s="74">
        <f t="shared" si="4"/>
        <v>46402</v>
      </c>
      <c r="G20" s="228"/>
      <c r="H20" s="19">
        <v>4.9370000000000003</v>
      </c>
      <c r="I20" s="71" t="s">
        <v>19</v>
      </c>
      <c r="J20" s="2" t="s">
        <v>54</v>
      </c>
      <c r="K20" s="2" t="s">
        <v>759</v>
      </c>
      <c r="L20" s="1" t="s">
        <v>64</v>
      </c>
      <c r="M20" s="67">
        <v>0.45</v>
      </c>
      <c r="N20" s="67"/>
      <c r="O20" s="87" t="s">
        <v>946</v>
      </c>
      <c r="P20" s="137" t="s">
        <v>947</v>
      </c>
      <c r="Q20" s="46" t="s">
        <v>979</v>
      </c>
      <c r="S20" t="b">
        <f t="shared" si="5"/>
        <v>1</v>
      </c>
      <c r="T20" t="b">
        <f t="shared" si="6"/>
        <v>1</v>
      </c>
      <c r="U20" s="46" t="s">
        <v>681</v>
      </c>
      <c r="V20" s="225" t="str">
        <f t="shared" si="7"/>
        <v>ALINMA 4.937 15/07/30</v>
      </c>
      <c r="W20" s="67">
        <f t="shared" si="14"/>
        <v>1.1250000000000001E-2</v>
      </c>
      <c r="X20" s="151">
        <f t="shared" si="8"/>
        <v>2250.0000000000005</v>
      </c>
      <c r="Y20" s="152">
        <f ca="1">((Main!$C$4-D20)*(200000*(H20/100))/360)*0.025</f>
        <v>23.313611111111115</v>
      </c>
      <c r="Z20" s="152">
        <f t="shared" ca="1" si="9"/>
        <v>2273.3136111111116</v>
      </c>
      <c r="AA20" s="153">
        <f t="shared" ca="1" si="10"/>
        <v>8348.7442368055581</v>
      </c>
      <c r="AC20" s="67">
        <f t="shared" si="15"/>
        <v>1.1596500000000001E-2</v>
      </c>
      <c r="AD20" s="151">
        <f t="shared" si="11"/>
        <v>2319.3000000000002</v>
      </c>
      <c r="AE20">
        <f ca="1">((Main!$C$4-D20)*(200000*(H20/100))/360)*0.02577</f>
        <v>24.031670333333334</v>
      </c>
      <c r="AF20" s="152">
        <f t="shared" ca="1" si="12"/>
        <v>2343.3316703333335</v>
      </c>
      <c r="AG20" s="153">
        <f t="shared" ca="1" si="13"/>
        <v>8605.8855592991677</v>
      </c>
    </row>
    <row r="21" spans="1:33" ht="12.75" customHeight="1" x14ac:dyDescent="0.35">
      <c r="A21" s="38" t="s">
        <v>65</v>
      </c>
      <c r="B21" s="110" t="s">
        <v>682</v>
      </c>
      <c r="C21" s="22" t="s">
        <v>66</v>
      </c>
      <c r="D21" s="75">
        <f t="shared" si="3"/>
        <v>45903</v>
      </c>
      <c r="E21" s="75" t="s">
        <v>571</v>
      </c>
      <c r="F21" s="74">
        <f t="shared" si="4"/>
        <v>46268</v>
      </c>
      <c r="G21" s="228"/>
      <c r="H21" s="19">
        <v>6.25</v>
      </c>
      <c r="I21" s="71" t="s">
        <v>19</v>
      </c>
      <c r="J21" s="2" t="s">
        <v>11</v>
      </c>
      <c r="K21" s="2" t="s">
        <v>751</v>
      </c>
      <c r="L21" s="2" t="s">
        <v>12</v>
      </c>
      <c r="M21" s="67">
        <v>0</v>
      </c>
      <c r="N21" s="67"/>
      <c r="O21" s="87" t="s">
        <v>937</v>
      </c>
      <c r="P21" s="141" t="s">
        <v>936</v>
      </c>
      <c r="Q21" s="46" t="s">
        <v>979</v>
      </c>
      <c r="S21" t="b">
        <f t="shared" si="5"/>
        <v>1</v>
      </c>
      <c r="T21" t="b">
        <f t="shared" si="6"/>
        <v>1</v>
      </c>
      <c r="U21" s="110" t="s">
        <v>682</v>
      </c>
      <c r="V21" s="225" t="str">
        <f t="shared" si="7"/>
        <v>ALINMA 6.25 PERP CORP</v>
      </c>
      <c r="W21" s="67">
        <f t="shared" si="14"/>
        <v>0</v>
      </c>
      <c r="X21" s="151">
        <f t="shared" si="8"/>
        <v>0</v>
      </c>
      <c r="Y21" s="152">
        <f ca="1">((Main!$C$4-D21)*(200000*(H21/100))/360)*0.025</f>
        <v>145.83333333333334</v>
      </c>
      <c r="Z21" s="152">
        <f t="shared" ca="1" si="9"/>
        <v>145.83333333333334</v>
      </c>
      <c r="AA21" s="153">
        <f t="shared" ca="1" si="10"/>
        <v>535.57291666666663</v>
      </c>
      <c r="AC21" s="67">
        <f t="shared" si="15"/>
        <v>0</v>
      </c>
      <c r="AD21" s="151">
        <f t="shared" si="11"/>
        <v>0</v>
      </c>
      <c r="AE21">
        <f ca="1">((Main!$C$4-D21)*(200000*(H21/100))/360)*0.02577</f>
        <v>150.32499999999999</v>
      </c>
      <c r="AF21" s="152">
        <f t="shared" ca="1" si="12"/>
        <v>150.32499999999999</v>
      </c>
      <c r="AG21" s="153">
        <f t="shared" ca="1" si="13"/>
        <v>552.06856249999998</v>
      </c>
    </row>
    <row r="22" spans="1:33" ht="12.75" customHeight="1" x14ac:dyDescent="0.35">
      <c r="A22" s="79" t="s">
        <v>67</v>
      </c>
      <c r="B22" s="110" t="s">
        <v>683</v>
      </c>
      <c r="C22" s="80" t="s">
        <v>68</v>
      </c>
      <c r="D22" s="75">
        <f t="shared" si="3"/>
        <v>45906</v>
      </c>
      <c r="E22" s="75" t="s">
        <v>572</v>
      </c>
      <c r="F22" s="74">
        <f t="shared" si="4"/>
        <v>46271</v>
      </c>
      <c r="G22" s="228"/>
      <c r="H22" s="19">
        <v>6.5</v>
      </c>
      <c r="I22" s="71" t="s">
        <v>19</v>
      </c>
      <c r="J22" s="2" t="s">
        <v>11</v>
      </c>
      <c r="K22" s="2" t="s">
        <v>751</v>
      </c>
      <c r="L22" s="2" t="s">
        <v>12</v>
      </c>
      <c r="M22" s="67">
        <v>0</v>
      </c>
      <c r="N22" s="67"/>
      <c r="O22" s="87" t="s">
        <v>937</v>
      </c>
      <c r="P22" s="141" t="s">
        <v>936</v>
      </c>
      <c r="Q22" s="46" t="s">
        <v>979</v>
      </c>
      <c r="S22" t="b">
        <f t="shared" si="5"/>
        <v>1</v>
      </c>
      <c r="T22" t="b">
        <f t="shared" si="6"/>
        <v>1</v>
      </c>
      <c r="U22" s="110" t="s">
        <v>683</v>
      </c>
      <c r="V22" s="225" t="str">
        <f t="shared" si="7"/>
        <v>ALINMA 6.5 06/03/2029</v>
      </c>
      <c r="W22" s="67">
        <f t="shared" si="14"/>
        <v>0</v>
      </c>
      <c r="X22" s="151">
        <f t="shared" si="8"/>
        <v>0</v>
      </c>
      <c r="Y22" s="152">
        <f ca="1">((Main!$C$4-D22)*(200000*(H22/100))/360)*0.025</f>
        <v>148.95833333333334</v>
      </c>
      <c r="Z22" s="152">
        <f t="shared" ca="1" si="9"/>
        <v>148.95833333333334</v>
      </c>
      <c r="AA22" s="153">
        <f t="shared" ca="1" si="10"/>
        <v>547.04947916666663</v>
      </c>
      <c r="AC22" s="67">
        <f t="shared" si="15"/>
        <v>0</v>
      </c>
      <c r="AD22" s="151">
        <f t="shared" si="11"/>
        <v>0</v>
      </c>
      <c r="AE22">
        <f ca="1">((Main!$C$4-D22)*(200000*(H22/100))/360)*0.02577</f>
        <v>153.54624999999999</v>
      </c>
      <c r="AF22" s="152">
        <f t="shared" ca="1" si="12"/>
        <v>153.54624999999999</v>
      </c>
      <c r="AG22" s="153">
        <f t="shared" ca="1" si="13"/>
        <v>563.89860312499991</v>
      </c>
    </row>
    <row r="23" spans="1:33" ht="12.75" customHeight="1" x14ac:dyDescent="0.35">
      <c r="A23" s="38" t="s">
        <v>69</v>
      </c>
      <c r="B23" s="110" t="s">
        <v>721</v>
      </c>
      <c r="C23" s="22" t="s">
        <v>70</v>
      </c>
      <c r="D23" s="75">
        <f t="shared" si="3"/>
        <v>45989</v>
      </c>
      <c r="E23" s="75" t="s">
        <v>573</v>
      </c>
      <c r="F23" s="74">
        <f t="shared" si="4"/>
        <v>46354</v>
      </c>
      <c r="G23" s="228"/>
      <c r="H23" s="19">
        <v>6.5</v>
      </c>
      <c r="I23" s="71" t="s">
        <v>19</v>
      </c>
      <c r="J23" s="2" t="s">
        <v>11</v>
      </c>
      <c r="K23" s="2" t="s">
        <v>751</v>
      </c>
      <c r="L23" s="2" t="s">
        <v>12</v>
      </c>
      <c r="M23" s="67">
        <v>0</v>
      </c>
      <c r="N23" s="67"/>
      <c r="O23" s="87" t="s">
        <v>937</v>
      </c>
      <c r="P23" s="141" t="s">
        <v>936</v>
      </c>
      <c r="Q23" s="46" t="s">
        <v>979</v>
      </c>
      <c r="S23" t="b">
        <f t="shared" si="5"/>
        <v>1</v>
      </c>
      <c r="T23" t="b">
        <f t="shared" si="6"/>
        <v>1</v>
      </c>
      <c r="U23" s="110" t="s">
        <v>721</v>
      </c>
      <c r="V23" s="225" t="str">
        <f t="shared" si="7"/>
        <v>ALINMA 6.5 PERP</v>
      </c>
      <c r="W23" s="67">
        <f t="shared" si="14"/>
        <v>0</v>
      </c>
      <c r="X23" s="151">
        <f t="shared" si="8"/>
        <v>0</v>
      </c>
      <c r="Y23" s="152">
        <f ca="1">((Main!$C$4-D23)*(200000*(H23/100))/360)*0.025</f>
        <v>74.027777777777786</v>
      </c>
      <c r="Z23" s="152">
        <f t="shared" ca="1" si="9"/>
        <v>74.027777777777786</v>
      </c>
      <c r="AA23" s="153">
        <f t="shared" ca="1" si="10"/>
        <v>271.86701388888889</v>
      </c>
      <c r="AC23" s="67">
        <f t="shared" si="15"/>
        <v>0</v>
      </c>
      <c r="AD23" s="151">
        <f t="shared" si="11"/>
        <v>0</v>
      </c>
      <c r="AE23">
        <f ca="1">((Main!$C$4-D23)*(200000*(H23/100))/360)*0.02577</f>
        <v>76.307833333333349</v>
      </c>
      <c r="AF23" s="152">
        <f t="shared" ca="1" si="12"/>
        <v>76.307833333333349</v>
      </c>
      <c r="AG23" s="153">
        <f t="shared" ca="1" si="13"/>
        <v>280.2405179166667</v>
      </c>
    </row>
    <row r="24" spans="1:33" ht="12.75" customHeight="1" x14ac:dyDescent="0.35">
      <c r="A24" s="38" t="s">
        <v>71</v>
      </c>
      <c r="B24" s="46" t="s">
        <v>684</v>
      </c>
      <c r="C24" s="22" t="s">
        <v>72</v>
      </c>
      <c r="D24" s="75">
        <f t="shared" si="3"/>
        <v>45924</v>
      </c>
      <c r="E24" s="75" t="s">
        <v>574</v>
      </c>
      <c r="F24" s="74">
        <f t="shared" si="4"/>
        <v>46289</v>
      </c>
      <c r="G24" s="228"/>
      <c r="H24" s="19">
        <v>4.45</v>
      </c>
      <c r="I24" s="71" t="s">
        <v>19</v>
      </c>
      <c r="J24" s="2" t="s">
        <v>4</v>
      </c>
      <c r="K24" s="2" t="s">
        <v>749</v>
      </c>
      <c r="L24" s="2" t="s">
        <v>2</v>
      </c>
      <c r="M24" s="67">
        <v>0.45</v>
      </c>
      <c r="N24" s="67"/>
      <c r="O24" s="87" t="s">
        <v>928</v>
      </c>
      <c r="P24" s="137" t="s">
        <v>929</v>
      </c>
      <c r="Q24" s="46" t="s">
        <v>980</v>
      </c>
      <c r="S24" t="b">
        <f t="shared" si="5"/>
        <v>1</v>
      </c>
      <c r="T24" t="b">
        <f t="shared" si="6"/>
        <v>1</v>
      </c>
      <c r="U24" s="46" t="s">
        <v>684</v>
      </c>
      <c r="V24" s="225" t="str">
        <f t="shared" si="7"/>
        <v>ALMARA 4.45 09/24/30 EMTN</v>
      </c>
      <c r="W24" s="67">
        <f t="shared" si="14"/>
        <v>1.1250000000000001E-2</v>
      </c>
      <c r="X24" s="151">
        <f t="shared" si="8"/>
        <v>2250.0000000000005</v>
      </c>
      <c r="Y24" s="152">
        <f ca="1">((Main!$C$4-D24)*(200000*(H24/100))/360)*0.025</f>
        <v>90.854166666666686</v>
      </c>
      <c r="Z24" s="152">
        <f t="shared" ca="1" si="9"/>
        <v>2340.854166666667</v>
      </c>
      <c r="AA24" s="153">
        <f t="shared" ca="1" si="10"/>
        <v>8596.7869270833344</v>
      </c>
      <c r="AC24" s="67">
        <f t="shared" si="15"/>
        <v>1.1596500000000001E-2</v>
      </c>
      <c r="AD24" s="151">
        <f t="shared" si="11"/>
        <v>2319.3000000000002</v>
      </c>
      <c r="AE24">
        <f ca="1">((Main!$C$4-D24)*(200000*(H24/100))/360)*0.02577</f>
        <v>93.652475000000024</v>
      </c>
      <c r="AF24" s="152">
        <f t="shared" ca="1" si="12"/>
        <v>2412.952475</v>
      </c>
      <c r="AG24" s="153">
        <f t="shared" ca="1" si="13"/>
        <v>8861.5679644374995</v>
      </c>
    </row>
    <row r="25" spans="1:33" ht="12.75" customHeight="1" x14ac:dyDescent="0.35">
      <c r="A25" s="38" t="s">
        <v>73</v>
      </c>
      <c r="B25" s="46" t="s">
        <v>685</v>
      </c>
      <c r="C25" s="22" t="s">
        <v>74</v>
      </c>
      <c r="D25" s="75">
        <f t="shared" si="3"/>
        <v>46047</v>
      </c>
      <c r="E25" s="75" t="s">
        <v>569</v>
      </c>
      <c r="F25" s="74">
        <f t="shared" si="4"/>
        <v>46412</v>
      </c>
      <c r="G25" s="228"/>
      <c r="H25" s="19">
        <v>5.2329999999999997</v>
      </c>
      <c r="I25" s="71" t="s">
        <v>19</v>
      </c>
      <c r="J25" s="2" t="s">
        <v>4</v>
      </c>
      <c r="K25" s="2" t="s">
        <v>749</v>
      </c>
      <c r="L25" s="2" t="s">
        <v>2</v>
      </c>
      <c r="M25" s="67">
        <v>0.45</v>
      </c>
      <c r="N25" s="67"/>
      <c r="O25" s="87" t="s">
        <v>928</v>
      </c>
      <c r="P25" s="137" t="s">
        <v>929</v>
      </c>
      <c r="Q25" s="46" t="s">
        <v>980</v>
      </c>
      <c r="S25" t="b">
        <f t="shared" si="5"/>
        <v>1</v>
      </c>
      <c r="T25" t="b">
        <f t="shared" si="6"/>
        <v>1</v>
      </c>
      <c r="U25" s="46" t="s">
        <v>685</v>
      </c>
      <c r="V25" s="225" t="str">
        <f t="shared" si="7"/>
        <v>ALMARA 5.233-07/33</v>
      </c>
      <c r="W25" s="67">
        <f t="shared" si="14"/>
        <v>1.1250000000000001E-2</v>
      </c>
      <c r="X25" s="151">
        <f t="shared" si="8"/>
        <v>2250.0000000000005</v>
      </c>
      <c r="Y25" s="152">
        <f ca="1">((Main!$C$4-D25)*(200000*(H25/100))/360)*0.025</f>
        <v>17.443333333333328</v>
      </c>
      <c r="Z25" s="152">
        <f t="shared" ca="1" si="9"/>
        <v>2267.4433333333336</v>
      </c>
      <c r="AA25" s="153">
        <f t="shared" ca="1" si="10"/>
        <v>8327.1856416666669</v>
      </c>
      <c r="AC25" s="67">
        <f t="shared" si="15"/>
        <v>1.1596500000000001E-2</v>
      </c>
      <c r="AD25" s="151">
        <f t="shared" si="11"/>
        <v>2319.3000000000002</v>
      </c>
      <c r="AE25">
        <f ca="1">((Main!$C$4-D25)*(200000*(H25/100))/360)*0.02577</f>
        <v>17.980587999999994</v>
      </c>
      <c r="AF25" s="152">
        <f t="shared" ca="1" si="12"/>
        <v>2337.2805880000001</v>
      </c>
      <c r="AG25" s="153">
        <f t="shared" ca="1" si="13"/>
        <v>8583.6629594299993</v>
      </c>
    </row>
    <row r="26" spans="1:33" ht="12.75" customHeight="1" x14ac:dyDescent="0.35">
      <c r="A26" s="38" t="s">
        <v>75</v>
      </c>
      <c r="B26" s="46" t="s">
        <v>722</v>
      </c>
      <c r="C26" s="22" t="s">
        <v>76</v>
      </c>
      <c r="D26" s="75">
        <f t="shared" si="3"/>
        <v>45995</v>
      </c>
      <c r="E26" s="75" t="s">
        <v>564</v>
      </c>
      <c r="F26" s="74">
        <f t="shared" si="4"/>
        <v>46360</v>
      </c>
      <c r="G26" s="228"/>
      <c r="H26" s="19">
        <v>8.875</v>
      </c>
      <c r="I26" s="71" t="s">
        <v>19</v>
      </c>
      <c r="J26" s="2" t="s">
        <v>54</v>
      </c>
      <c r="K26" s="2" t="s">
        <v>759</v>
      </c>
      <c r="L26" s="23" t="s">
        <v>55</v>
      </c>
      <c r="M26" s="67">
        <v>0.45</v>
      </c>
      <c r="N26" s="67"/>
      <c r="O26" s="87" t="s">
        <v>946</v>
      </c>
      <c r="P26" s="137" t="s">
        <v>947</v>
      </c>
      <c r="Q26" s="46" t="s">
        <v>981</v>
      </c>
      <c r="R26" t="b">
        <f>Q26=B26</f>
        <v>0</v>
      </c>
      <c r="S26" t="b">
        <f t="shared" si="5"/>
        <v>1</v>
      </c>
      <c r="T26" t="b">
        <f t="shared" si="6"/>
        <v>1</v>
      </c>
      <c r="U26" s="46" t="s">
        <v>722</v>
      </c>
      <c r="V26" s="225" t="str">
        <f t="shared" si="7"/>
        <v>ARACEN 8.875 04/12/30</v>
      </c>
      <c r="W26" s="67">
        <f t="shared" si="14"/>
        <v>1.1250000000000001E-2</v>
      </c>
      <c r="X26" s="151">
        <f t="shared" si="8"/>
        <v>2250.0000000000005</v>
      </c>
      <c r="Y26" s="152">
        <f ca="1">((Main!$C$4-D26)*(200000*(H26/100))/360)*0.025</f>
        <v>93.680555555555557</v>
      </c>
      <c r="Z26" s="152">
        <f t="shared" ca="1" si="9"/>
        <v>2343.6805555555561</v>
      </c>
      <c r="AA26" s="153">
        <f t="shared" ca="1" si="10"/>
        <v>8607.1668402777796</v>
      </c>
      <c r="AC26" s="67">
        <f t="shared" si="15"/>
        <v>1.1596500000000001E-2</v>
      </c>
      <c r="AD26" s="151">
        <f t="shared" si="11"/>
        <v>2319.3000000000002</v>
      </c>
      <c r="AE26">
        <f ca="1">((Main!$C$4-D26)*(200000*(H26/100))/360)*0.02577</f>
        <v>96.565916666666666</v>
      </c>
      <c r="AF26" s="152">
        <f t="shared" ca="1" si="12"/>
        <v>2415.8659166666666</v>
      </c>
      <c r="AG26" s="153">
        <f t="shared" ca="1" si="13"/>
        <v>8872.2675789583336</v>
      </c>
    </row>
    <row r="27" spans="1:33" ht="12.75" customHeight="1" x14ac:dyDescent="0.35">
      <c r="A27" s="38" t="s">
        <v>77</v>
      </c>
      <c r="B27" s="46" t="s">
        <v>723</v>
      </c>
      <c r="C27" s="22" t="s">
        <v>78</v>
      </c>
      <c r="D27" s="75">
        <f t="shared" si="3"/>
        <v>45906</v>
      </c>
      <c r="E27" s="75" t="s">
        <v>572</v>
      </c>
      <c r="F27" s="74">
        <f t="shared" si="4"/>
        <v>46271</v>
      </c>
      <c r="G27" s="228"/>
      <c r="H27" s="19">
        <v>9.5</v>
      </c>
      <c r="I27" s="71" t="s">
        <v>19</v>
      </c>
      <c r="J27" s="2" t="s">
        <v>54</v>
      </c>
      <c r="K27" s="2" t="s">
        <v>759</v>
      </c>
      <c r="L27" s="23" t="s">
        <v>55</v>
      </c>
      <c r="M27" s="67">
        <v>0.45</v>
      </c>
      <c r="N27" s="67"/>
      <c r="O27" s="87" t="s">
        <v>946</v>
      </c>
      <c r="P27" s="137" t="s">
        <v>947</v>
      </c>
      <c r="Q27" s="46" t="s">
        <v>981</v>
      </c>
      <c r="R27" t="b">
        <f t="shared" ref="R27:R90" si="16">Q27=B27</f>
        <v>0</v>
      </c>
      <c r="S27" t="b">
        <f t="shared" si="5"/>
        <v>1</v>
      </c>
      <c r="T27" t="b">
        <f t="shared" si="6"/>
        <v>1</v>
      </c>
      <c r="U27" s="46" t="s">
        <v>723</v>
      </c>
      <c r="V27" s="225" t="str">
        <f t="shared" si="7"/>
        <v>ARACEN 9.5 06/03/2029</v>
      </c>
      <c r="W27" s="67">
        <f t="shared" si="14"/>
        <v>1.1250000000000001E-2</v>
      </c>
      <c r="X27" s="151">
        <f t="shared" si="8"/>
        <v>2250.0000000000005</v>
      </c>
      <c r="Y27" s="152">
        <f ca="1">((Main!$C$4-D27)*(200000*(H27/100))/360)*0.025</f>
        <v>217.70833333333337</v>
      </c>
      <c r="Z27" s="152">
        <f t="shared" ca="1" si="9"/>
        <v>2467.7083333333339</v>
      </c>
      <c r="AA27" s="153">
        <f t="shared" ca="1" si="10"/>
        <v>9062.6588541666679</v>
      </c>
      <c r="AC27" s="67">
        <f t="shared" si="15"/>
        <v>1.1596500000000001E-2</v>
      </c>
      <c r="AD27" s="151">
        <f t="shared" si="11"/>
        <v>2319.3000000000002</v>
      </c>
      <c r="AE27">
        <f ca="1">((Main!$C$4-D27)*(200000*(H27/100))/360)*0.02577</f>
        <v>224.41375000000002</v>
      </c>
      <c r="AF27" s="152">
        <f t="shared" ca="1" si="12"/>
        <v>2543.7137500000003</v>
      </c>
      <c r="AG27" s="153">
        <f t="shared" ca="1" si="13"/>
        <v>9341.7887468750014</v>
      </c>
    </row>
    <row r="28" spans="1:33" ht="12.75" customHeight="1" x14ac:dyDescent="0.35">
      <c r="A28" s="38" t="s">
        <v>79</v>
      </c>
      <c r="B28" s="46" t="s">
        <v>686</v>
      </c>
      <c r="C28" s="22" t="s">
        <v>80</v>
      </c>
      <c r="D28" s="75">
        <f t="shared" si="3"/>
        <v>46058</v>
      </c>
      <c r="E28" s="75" t="s">
        <v>577</v>
      </c>
      <c r="F28" s="74">
        <f t="shared" si="4"/>
        <v>46423</v>
      </c>
      <c r="G28" s="228"/>
      <c r="H28" s="19">
        <v>7.15</v>
      </c>
      <c r="I28" s="71" t="s">
        <v>19</v>
      </c>
      <c r="J28" s="2" t="s">
        <v>4</v>
      </c>
      <c r="K28" s="2" t="s">
        <v>749</v>
      </c>
      <c r="L28" s="2" t="s">
        <v>5</v>
      </c>
      <c r="M28" s="67">
        <v>0.45</v>
      </c>
      <c r="N28" s="67"/>
      <c r="O28" s="87" t="s">
        <v>928</v>
      </c>
      <c r="P28" s="137" t="s">
        <v>929</v>
      </c>
      <c r="Q28" s="46" t="s">
        <v>982</v>
      </c>
      <c r="R28" t="b">
        <f t="shared" si="16"/>
        <v>0</v>
      </c>
      <c r="S28" t="b">
        <f t="shared" si="5"/>
        <v>1</v>
      </c>
      <c r="T28" t="b">
        <f t="shared" si="6"/>
        <v>1</v>
      </c>
      <c r="U28" s="46" t="s">
        <v>686</v>
      </c>
      <c r="V28" s="225" t="str">
        <f t="shared" si="7"/>
        <v>ARADAD 7.15 05/08/2030</v>
      </c>
      <c r="W28" s="67">
        <f t="shared" si="14"/>
        <v>1.1250000000000001E-2</v>
      </c>
      <c r="X28" s="151">
        <f t="shared" si="8"/>
        <v>2250.0000000000005</v>
      </c>
      <c r="Y28" s="152">
        <f ca="1">((Main!$C$4-D28)*(200000*(H28/100))/360)*0.025</f>
        <v>12.909722222222223</v>
      </c>
      <c r="Z28" s="152">
        <f t="shared" ca="1" si="9"/>
        <v>2262.9097222222226</v>
      </c>
      <c r="AA28" s="153">
        <f t="shared" ca="1" si="10"/>
        <v>8310.5359548611123</v>
      </c>
      <c r="AC28" s="67">
        <f t="shared" si="15"/>
        <v>1.1596500000000001E-2</v>
      </c>
      <c r="AD28" s="151">
        <f t="shared" si="11"/>
        <v>2319.3000000000002</v>
      </c>
      <c r="AE28">
        <f ca="1">((Main!$C$4-D28)*(200000*(H28/100))/360)*0.02577</f>
        <v>13.307341666666668</v>
      </c>
      <c r="AF28" s="152">
        <f t="shared" ca="1" si="12"/>
        <v>2332.6073416666668</v>
      </c>
      <c r="AG28" s="153">
        <f ca="1">AF28*3.6725</f>
        <v>8566.5004622708329</v>
      </c>
    </row>
    <row r="29" spans="1:33" ht="12.75" customHeight="1" x14ac:dyDescent="0.35">
      <c r="A29" s="38" t="s">
        <v>81</v>
      </c>
      <c r="B29" s="46" t="s">
        <v>687</v>
      </c>
      <c r="C29" s="22" t="s">
        <v>82</v>
      </c>
      <c r="D29" s="75">
        <f t="shared" si="3"/>
        <v>46015</v>
      </c>
      <c r="E29" s="75" t="s">
        <v>578</v>
      </c>
      <c r="F29" s="74">
        <f t="shared" si="4"/>
        <v>46380</v>
      </c>
      <c r="G29" s="228"/>
      <c r="H29" s="19">
        <v>8</v>
      </c>
      <c r="I29" s="71" t="s">
        <v>19</v>
      </c>
      <c r="J29" s="2" t="s">
        <v>4</v>
      </c>
      <c r="K29" s="2" t="s">
        <v>749</v>
      </c>
      <c r="L29" s="2" t="s">
        <v>5</v>
      </c>
      <c r="M29" s="67">
        <v>0.45</v>
      </c>
      <c r="N29" s="67"/>
      <c r="O29" s="87" t="s">
        <v>928</v>
      </c>
      <c r="P29" s="137" t="s">
        <v>929</v>
      </c>
      <c r="Q29" s="46" t="s">
        <v>982</v>
      </c>
      <c r="R29" t="b">
        <f t="shared" si="16"/>
        <v>0</v>
      </c>
      <c r="S29" t="b">
        <f t="shared" si="5"/>
        <v>1</v>
      </c>
      <c r="T29" t="b">
        <f t="shared" si="6"/>
        <v>1</v>
      </c>
      <c r="U29" s="46" t="s">
        <v>687</v>
      </c>
      <c r="V29" s="225" t="str">
        <f t="shared" si="7"/>
        <v>ARADAD 8 24/06/2029</v>
      </c>
      <c r="W29" s="67">
        <f t="shared" si="14"/>
        <v>1.1250000000000001E-2</v>
      </c>
      <c r="X29" s="151">
        <f t="shared" si="8"/>
        <v>2250.0000000000005</v>
      </c>
      <c r="Y29" s="152">
        <f ca="1">((Main!$C$4-D29)*(200000*(H29/100))/360)*0.025</f>
        <v>62.222222222222221</v>
      </c>
      <c r="Z29" s="152">
        <f t="shared" ca="1" si="9"/>
        <v>2312.2222222222226</v>
      </c>
      <c r="AA29" s="153">
        <f t="shared" ca="1" si="10"/>
        <v>8491.6361111111128</v>
      </c>
      <c r="AC29" s="67">
        <f t="shared" si="15"/>
        <v>1.1596500000000001E-2</v>
      </c>
      <c r="AD29" s="151">
        <f t="shared" si="11"/>
        <v>2319.3000000000002</v>
      </c>
      <c r="AE29">
        <f ca="1">((Main!$C$4-D29)*(200000*(H29/100))/360)*0.02577</f>
        <v>64.138666666666666</v>
      </c>
      <c r="AF29" s="152">
        <f t="shared" ca="1" si="12"/>
        <v>2383.4386666666669</v>
      </c>
      <c r="AG29" s="153">
        <f t="shared" ca="1" si="13"/>
        <v>8753.1785033333344</v>
      </c>
    </row>
    <row r="30" spans="1:33" ht="12.75" customHeight="1" x14ac:dyDescent="0.35">
      <c r="A30" s="38" t="s">
        <v>83</v>
      </c>
      <c r="B30" s="46" t="s">
        <v>688</v>
      </c>
      <c r="C30" s="22" t="s">
        <v>84</v>
      </c>
      <c r="D30" s="75">
        <f t="shared" si="3"/>
        <v>45999</v>
      </c>
      <c r="E30" s="75" t="s">
        <v>579</v>
      </c>
      <c r="F30" s="74">
        <f t="shared" si="4"/>
        <v>46364</v>
      </c>
      <c r="G30" s="228"/>
      <c r="H30" s="19">
        <v>8.125</v>
      </c>
      <c r="I30" s="71" t="s">
        <v>19</v>
      </c>
      <c r="J30" s="2" t="s">
        <v>4</v>
      </c>
      <c r="K30" s="2" t="s">
        <v>749</v>
      </c>
      <c r="L30" s="2" t="s">
        <v>5</v>
      </c>
      <c r="M30" s="67">
        <v>0.45</v>
      </c>
      <c r="N30" s="67"/>
      <c r="O30" s="87" t="s">
        <v>928</v>
      </c>
      <c r="P30" s="137" t="s">
        <v>929</v>
      </c>
      <c r="Q30" s="46" t="s">
        <v>982</v>
      </c>
      <c r="R30" t="b">
        <f t="shared" si="16"/>
        <v>0</v>
      </c>
      <c r="S30" t="b">
        <f t="shared" si="5"/>
        <v>1</v>
      </c>
      <c r="T30" t="b">
        <f t="shared" si="6"/>
        <v>1</v>
      </c>
      <c r="U30" s="46" t="s">
        <v>688</v>
      </c>
      <c r="V30" s="225" t="str">
        <f t="shared" si="7"/>
        <v>ARADAD 8.125  08JUN27</v>
      </c>
      <c r="W30" s="67">
        <f t="shared" si="14"/>
        <v>1.1250000000000001E-2</v>
      </c>
      <c r="X30" s="151">
        <f t="shared" si="8"/>
        <v>2250.0000000000005</v>
      </c>
      <c r="Y30" s="152">
        <f ca="1">((Main!$C$4-D30)*(200000*(H30/100))/360)*0.025</f>
        <v>81.25</v>
      </c>
      <c r="Z30" s="152">
        <f t="shared" ca="1" si="9"/>
        <v>2331.2500000000005</v>
      </c>
      <c r="AA30" s="153">
        <f t="shared" ca="1" si="10"/>
        <v>8561.5156250000018</v>
      </c>
      <c r="AC30" s="67">
        <f t="shared" si="15"/>
        <v>1.1596500000000001E-2</v>
      </c>
      <c r="AD30" s="151">
        <f t="shared" si="11"/>
        <v>2319.3000000000002</v>
      </c>
      <c r="AE30">
        <f ca="1">((Main!$C$4-D30)*(200000*(H30/100))/360)*0.02577</f>
        <v>83.752499999999998</v>
      </c>
      <c r="AF30" s="152">
        <f t="shared" ca="1" si="12"/>
        <v>2403.0525000000002</v>
      </c>
      <c r="AG30" s="153">
        <f t="shared" ca="1" si="13"/>
        <v>8825.2103062500009</v>
      </c>
    </row>
    <row r="31" spans="1:33" ht="12.75" customHeight="1" x14ac:dyDescent="0.35">
      <c r="A31" s="38" t="s">
        <v>102</v>
      </c>
      <c r="B31" s="46" t="s">
        <v>101</v>
      </c>
      <c r="C31" s="22" t="s">
        <v>103</v>
      </c>
      <c r="D31" s="75">
        <f t="shared" si="3"/>
        <v>45924</v>
      </c>
      <c r="E31" s="75" t="s">
        <v>574</v>
      </c>
      <c r="F31" s="74">
        <f t="shared" si="4"/>
        <v>46289</v>
      </c>
      <c r="G31" s="228"/>
      <c r="H31" s="19">
        <v>4.375</v>
      </c>
      <c r="I31" s="71" t="s">
        <v>19</v>
      </c>
      <c r="J31" s="60" t="s">
        <v>943</v>
      </c>
      <c r="K31" s="1" t="s">
        <v>752</v>
      </c>
      <c r="L31" s="1" t="s">
        <v>104</v>
      </c>
      <c r="M31" s="67">
        <v>0.48</v>
      </c>
      <c r="N31" s="67"/>
      <c r="O31" s="87" t="s">
        <v>944</v>
      </c>
      <c r="P31" s="141" t="s">
        <v>945</v>
      </c>
      <c r="Q31" s="46" t="s">
        <v>101</v>
      </c>
      <c r="R31" t="b">
        <f t="shared" si="16"/>
        <v>1</v>
      </c>
      <c r="S31" t="b">
        <f t="shared" si="5"/>
        <v>1</v>
      </c>
      <c r="T31" t="b">
        <f t="shared" si="6"/>
        <v>1</v>
      </c>
      <c r="U31" s="46" t="s">
        <v>101</v>
      </c>
      <c r="V31" s="225" t="str">
        <f t="shared" si="7"/>
        <v>AXIATA 4.357 03/24/26 EMTN</v>
      </c>
      <c r="W31" s="67">
        <f t="shared" si="14"/>
        <v>1.2E-2</v>
      </c>
      <c r="X31" s="151">
        <f t="shared" si="8"/>
        <v>2400</v>
      </c>
      <c r="Y31" s="152">
        <f ca="1">((Main!$C$4-D31)*(200000*(H31/100))/360)*0.025</f>
        <v>89.322916666666671</v>
      </c>
      <c r="Z31" s="152">
        <f t="shared" ca="1" si="9"/>
        <v>2489.3229166666665</v>
      </c>
      <c r="AA31" s="153">
        <f t="shared" ca="1" si="10"/>
        <v>9142.0384114583321</v>
      </c>
      <c r="AC31" s="67">
        <f t="shared" si="15"/>
        <v>1.23696E-2</v>
      </c>
      <c r="AD31" s="151">
        <f t="shared" si="11"/>
        <v>2473.92</v>
      </c>
      <c r="AE31">
        <f ca="1">((Main!$C$4-D31)*(200000*(H31/100))/360)*0.02577</f>
        <v>92.074062499999997</v>
      </c>
      <c r="AF31" s="152">
        <f t="shared" ca="1" si="12"/>
        <v>2565.9940624999999</v>
      </c>
      <c r="AG31" s="153">
        <f t="shared" ca="1" si="13"/>
        <v>9423.61319453125</v>
      </c>
    </row>
    <row r="32" spans="1:33" ht="12.75" customHeight="1" x14ac:dyDescent="0.35">
      <c r="A32" s="38" t="s">
        <v>370</v>
      </c>
      <c r="B32" s="46" t="s">
        <v>369</v>
      </c>
      <c r="C32" s="22" t="s">
        <v>371</v>
      </c>
      <c r="D32" s="75">
        <f t="shared" si="3"/>
        <v>46043</v>
      </c>
      <c r="E32" s="75" t="s">
        <v>566</v>
      </c>
      <c r="F32" s="74">
        <f t="shared" si="4"/>
        <v>46408</v>
      </c>
      <c r="G32" s="228"/>
      <c r="H32" s="19">
        <v>4.0999999999999996</v>
      </c>
      <c r="I32" s="71" t="s">
        <v>19</v>
      </c>
      <c r="J32" s="60" t="s">
        <v>943</v>
      </c>
      <c r="K32" s="2" t="s">
        <v>753</v>
      </c>
      <c r="L32" s="2" t="s">
        <v>372</v>
      </c>
      <c r="M32" s="67">
        <v>0.74</v>
      </c>
      <c r="N32" s="67"/>
      <c r="O32" s="87" t="s">
        <v>944</v>
      </c>
      <c r="P32" s="141" t="s">
        <v>945</v>
      </c>
      <c r="Q32" s="46" t="s">
        <v>369</v>
      </c>
      <c r="R32" t="b">
        <f t="shared" si="16"/>
        <v>1</v>
      </c>
      <c r="S32" t="b">
        <f t="shared" si="5"/>
        <v>1</v>
      </c>
      <c r="T32" t="b">
        <f t="shared" si="6"/>
        <v>1</v>
      </c>
      <c r="U32" s="46" t="s">
        <v>369</v>
      </c>
      <c r="V32" s="225" t="str">
        <f t="shared" si="7"/>
        <v>MUMTAK SUK-4.1-01/21/27</v>
      </c>
      <c r="W32" s="67">
        <f t="shared" si="14"/>
        <v>1.8499999999999999E-2</v>
      </c>
      <c r="X32" s="151">
        <f t="shared" si="8"/>
        <v>3700</v>
      </c>
      <c r="Y32" s="152">
        <f ca="1">((Main!$C$4-D32)*(200000*(H32/100))/360)*0.025</f>
        <v>15.944444444444441</v>
      </c>
      <c r="Z32" s="152">
        <f t="shared" ca="1" si="9"/>
        <v>3715.9444444444443</v>
      </c>
      <c r="AA32" s="153">
        <f t="shared" ca="1" si="10"/>
        <v>13646.805972222221</v>
      </c>
      <c r="AC32" s="67">
        <f t="shared" si="15"/>
        <v>1.9069800000000001E-2</v>
      </c>
      <c r="AD32" s="151">
        <f t="shared" si="11"/>
        <v>3813.9600000000005</v>
      </c>
      <c r="AE32">
        <f ca="1">((Main!$C$4-D32)*(200000*(H32/100))/360)*0.02577</f>
        <v>16.435533333333328</v>
      </c>
      <c r="AF32" s="152">
        <f t="shared" ca="1" si="12"/>
        <v>3830.3955333333338</v>
      </c>
      <c r="AG32" s="153">
        <f t="shared" ca="1" si="13"/>
        <v>14067.127596166667</v>
      </c>
    </row>
    <row r="33" spans="1:33" ht="12.75" customHeight="1" x14ac:dyDescent="0.35">
      <c r="A33" s="38" t="s">
        <v>47</v>
      </c>
      <c r="B33" s="111" t="s">
        <v>46</v>
      </c>
      <c r="C33" s="22" t="s">
        <v>48</v>
      </c>
      <c r="D33" s="75">
        <f t="shared" si="3"/>
        <v>45983</v>
      </c>
      <c r="E33" s="75" t="s">
        <v>580</v>
      </c>
      <c r="F33" s="74">
        <f t="shared" si="4"/>
        <v>46348</v>
      </c>
      <c r="G33" s="228"/>
      <c r="H33" s="19">
        <v>6.5</v>
      </c>
      <c r="I33" s="71" t="s">
        <v>19</v>
      </c>
      <c r="J33" s="24" t="s">
        <v>11</v>
      </c>
      <c r="K33" s="2" t="s">
        <v>751</v>
      </c>
      <c r="L33" s="2" t="s">
        <v>12</v>
      </c>
      <c r="M33" s="67">
        <v>0</v>
      </c>
      <c r="N33" s="67"/>
      <c r="O33" s="87" t="s">
        <v>937</v>
      </c>
      <c r="P33" s="141" t="s">
        <v>936</v>
      </c>
      <c r="Q33" s="111" t="s">
        <v>46</v>
      </c>
      <c r="R33" t="b">
        <f t="shared" si="16"/>
        <v>1</v>
      </c>
      <c r="S33" t="b">
        <f t="shared" si="5"/>
        <v>1</v>
      </c>
      <c r="T33" t="b">
        <f t="shared" si="6"/>
        <v>1</v>
      </c>
      <c r="U33" s="111" t="s">
        <v>46</v>
      </c>
      <c r="V33" s="225" t="str">
        <f t="shared" si="7"/>
        <v>ALBIAB 6.5 PERP</v>
      </c>
      <c r="W33" s="67">
        <f t="shared" si="14"/>
        <v>0</v>
      </c>
      <c r="X33" s="151">
        <f t="shared" si="8"/>
        <v>0</v>
      </c>
      <c r="Y33" s="152">
        <f ca="1">((Main!$C$4-D33)*(200000*(H33/100))/360)*0.025</f>
        <v>79.444444444444457</v>
      </c>
      <c r="Z33" s="152">
        <f t="shared" ca="1" si="9"/>
        <v>79.444444444444457</v>
      </c>
      <c r="AA33" s="153">
        <f t="shared" ca="1" si="10"/>
        <v>291.75972222222225</v>
      </c>
      <c r="AC33" s="67">
        <f t="shared" si="15"/>
        <v>0</v>
      </c>
      <c r="AD33" s="151">
        <f t="shared" si="11"/>
        <v>0</v>
      </c>
      <c r="AE33">
        <f ca="1">((Main!$C$4-D33)*(200000*(H33/100))/360)*0.02577</f>
        <v>81.891333333333336</v>
      </c>
      <c r="AF33" s="152">
        <f t="shared" ca="1" si="12"/>
        <v>81.891333333333336</v>
      </c>
      <c r="AG33" s="153">
        <f t="shared" ca="1" si="13"/>
        <v>300.74592166666667</v>
      </c>
    </row>
    <row r="34" spans="1:33" ht="12.75" customHeight="1" x14ac:dyDescent="0.35">
      <c r="A34" s="38" t="s">
        <v>308</v>
      </c>
      <c r="B34" s="110" t="s">
        <v>689</v>
      </c>
      <c r="C34" s="22" t="s">
        <v>309</v>
      </c>
      <c r="D34" s="75">
        <f t="shared" si="3"/>
        <v>46020</v>
      </c>
      <c r="E34" s="75" t="s">
        <v>581</v>
      </c>
      <c r="F34" s="74">
        <f t="shared" si="4"/>
        <v>46385</v>
      </c>
      <c r="G34" s="228"/>
      <c r="H34" s="19">
        <v>3.95</v>
      </c>
      <c r="I34" s="71" t="s">
        <v>19</v>
      </c>
      <c r="J34" s="2" t="s">
        <v>11</v>
      </c>
      <c r="K34" s="2" t="s">
        <v>751</v>
      </c>
      <c r="L34" s="2" t="s">
        <v>12</v>
      </c>
      <c r="M34" s="67">
        <v>0</v>
      </c>
      <c r="N34" s="67"/>
      <c r="O34" s="87" t="s">
        <v>937</v>
      </c>
      <c r="P34" s="141" t="s">
        <v>936</v>
      </c>
      <c r="Q34" s="110" t="s">
        <v>983</v>
      </c>
      <c r="R34" t="b">
        <f t="shared" si="16"/>
        <v>0</v>
      </c>
      <c r="S34" t="b">
        <f t="shared" si="5"/>
        <v>1</v>
      </c>
      <c r="T34" t="b">
        <f t="shared" si="6"/>
        <v>1</v>
      </c>
      <c r="U34" s="110" t="s">
        <v>689</v>
      </c>
      <c r="V34" s="225" t="str">
        <f t="shared" si="7"/>
        <v>JAZCOR 3.95 PERP CORP</v>
      </c>
      <c r="W34" s="67">
        <f t="shared" si="14"/>
        <v>0</v>
      </c>
      <c r="X34" s="151">
        <f t="shared" si="8"/>
        <v>0</v>
      </c>
      <c r="Y34" s="152">
        <f ca="1">((Main!$C$4-D34)*(200000*(H34/100))/360)*0.025</f>
        <v>27.979166666666671</v>
      </c>
      <c r="Z34" s="152">
        <f t="shared" ca="1" si="9"/>
        <v>27.979166666666671</v>
      </c>
      <c r="AA34" s="153">
        <f t="shared" ca="1" si="10"/>
        <v>102.75348958333335</v>
      </c>
      <c r="AC34" s="67">
        <f t="shared" si="15"/>
        <v>0</v>
      </c>
      <c r="AD34" s="151">
        <f t="shared" si="11"/>
        <v>0</v>
      </c>
      <c r="AE34">
        <f ca="1">((Main!$C$4-D34)*(200000*(H34/100))/360)*0.02577</f>
        <v>28.840925000000002</v>
      </c>
      <c r="AF34" s="152">
        <f t="shared" ca="1" si="12"/>
        <v>28.840925000000002</v>
      </c>
      <c r="AG34" s="153">
        <f t="shared" ca="1" si="13"/>
        <v>105.9182970625</v>
      </c>
    </row>
    <row r="35" spans="1:33" ht="12.75" customHeight="1" x14ac:dyDescent="0.35">
      <c r="A35" s="38" t="s">
        <v>310</v>
      </c>
      <c r="B35" s="110" t="s">
        <v>690</v>
      </c>
      <c r="C35" s="22" t="s">
        <v>311</v>
      </c>
      <c r="D35" s="75">
        <f t="shared" si="3"/>
        <v>45922</v>
      </c>
      <c r="E35" s="75" t="s">
        <v>582</v>
      </c>
      <c r="F35" s="74">
        <f t="shared" si="4"/>
        <v>46287</v>
      </c>
      <c r="G35" s="228"/>
      <c r="H35" s="19">
        <v>6.5</v>
      </c>
      <c r="I35" s="71" t="s">
        <v>19</v>
      </c>
      <c r="J35" s="2" t="s">
        <v>11</v>
      </c>
      <c r="K35" s="2" t="s">
        <v>751</v>
      </c>
      <c r="L35" s="2" t="s">
        <v>12</v>
      </c>
      <c r="M35" s="67">
        <v>0</v>
      </c>
      <c r="N35" s="67"/>
      <c r="O35" s="87" t="s">
        <v>937</v>
      </c>
      <c r="P35" s="141" t="s">
        <v>936</v>
      </c>
      <c r="Q35" s="110" t="s">
        <v>983</v>
      </c>
      <c r="R35" t="b">
        <f t="shared" si="16"/>
        <v>0</v>
      </c>
      <c r="S35" t="b">
        <f t="shared" si="5"/>
        <v>1</v>
      </c>
      <c r="T35" t="b">
        <f t="shared" si="6"/>
        <v>1</v>
      </c>
      <c r="U35" s="110" t="s">
        <v>690</v>
      </c>
      <c r="V35" s="225" t="str">
        <f t="shared" si="7"/>
        <v>JAZCOR 6.5 PERP CORP</v>
      </c>
      <c r="W35" s="67">
        <f t="shared" si="14"/>
        <v>0</v>
      </c>
      <c r="X35" s="151">
        <f t="shared" si="8"/>
        <v>0</v>
      </c>
      <c r="Y35" s="152">
        <f ca="1">((Main!$C$4-D35)*(200000*(H35/100))/360)*0.025</f>
        <v>134.51388888888889</v>
      </c>
      <c r="Z35" s="152">
        <f t="shared" ca="1" si="9"/>
        <v>134.51388888888889</v>
      </c>
      <c r="AA35" s="153">
        <f t="shared" ca="1" si="10"/>
        <v>494.00225694444441</v>
      </c>
      <c r="AC35" s="67">
        <f t="shared" si="15"/>
        <v>0</v>
      </c>
      <c r="AD35" s="151">
        <f t="shared" si="11"/>
        <v>0</v>
      </c>
      <c r="AE35">
        <f ca="1">((Main!$C$4-D35)*(200000*(H35/100))/360)*0.02577</f>
        <v>138.65691666666669</v>
      </c>
      <c r="AF35" s="152">
        <f t="shared" ca="1" si="12"/>
        <v>138.65691666666669</v>
      </c>
      <c r="AG35" s="153">
        <f t="shared" ca="1" si="13"/>
        <v>509.2175264583334</v>
      </c>
    </row>
    <row r="36" spans="1:33" ht="12.75" customHeight="1" x14ac:dyDescent="0.35">
      <c r="A36" s="38" t="s">
        <v>140</v>
      </c>
      <c r="B36" s="46" t="s">
        <v>678</v>
      </c>
      <c r="C36" s="22" t="s">
        <v>141</v>
      </c>
      <c r="D36" s="75">
        <f t="shared" si="3"/>
        <v>45991</v>
      </c>
      <c r="E36" s="75" t="s">
        <v>563</v>
      </c>
      <c r="F36" s="74">
        <f t="shared" si="4"/>
        <v>46356</v>
      </c>
      <c r="G36" s="228"/>
      <c r="H36" s="19">
        <v>4.75</v>
      </c>
      <c r="I36" s="71" t="s">
        <v>19</v>
      </c>
      <c r="J36" s="2" t="s">
        <v>54</v>
      </c>
      <c r="K36" s="2" t="s">
        <v>759</v>
      </c>
      <c r="L36" s="2" t="s">
        <v>64</v>
      </c>
      <c r="M36" s="67">
        <v>0.45</v>
      </c>
      <c r="N36" s="67"/>
      <c r="O36" s="87" t="s">
        <v>946</v>
      </c>
      <c r="P36" s="137" t="s">
        <v>947</v>
      </c>
      <c r="Q36" s="46" t="s">
        <v>984</v>
      </c>
      <c r="R36" t="b">
        <f t="shared" si="16"/>
        <v>0</v>
      </c>
      <c r="S36" t="b">
        <f t="shared" si="5"/>
        <v>1</v>
      </c>
      <c r="T36" t="b">
        <f t="shared" si="6"/>
        <v>1</v>
      </c>
      <c r="U36" s="46" t="s">
        <v>678</v>
      </c>
      <c r="V36" s="225" t="str">
        <f t="shared" si="7"/>
        <v>BSFR 4.75 31/05/2028</v>
      </c>
      <c r="W36" s="67">
        <f t="shared" si="14"/>
        <v>1.1250000000000001E-2</v>
      </c>
      <c r="X36" s="151">
        <f t="shared" si="8"/>
        <v>2250.0000000000005</v>
      </c>
      <c r="Y36" s="152">
        <f ca="1">((Main!$C$4-D36)*(200000*(H36/100))/360)*0.025</f>
        <v>52.777777777777786</v>
      </c>
      <c r="Z36" s="152">
        <f t="shared" ca="1" si="9"/>
        <v>2302.7777777777783</v>
      </c>
      <c r="AA36" s="153">
        <f t="shared" ca="1" si="10"/>
        <v>8456.9513888888905</v>
      </c>
      <c r="AC36" s="67">
        <f t="shared" si="15"/>
        <v>1.1596500000000001E-2</v>
      </c>
      <c r="AD36" s="151">
        <f t="shared" si="11"/>
        <v>2319.3000000000002</v>
      </c>
      <c r="AE36">
        <f ca="1">((Main!$C$4-D36)*(200000*(H36/100))/360)*0.02577</f>
        <v>54.403333333333343</v>
      </c>
      <c r="AF36" s="152">
        <f t="shared" ca="1" si="12"/>
        <v>2373.7033333333334</v>
      </c>
      <c r="AG36" s="153">
        <f t="shared" ca="1" si="13"/>
        <v>8717.4254916666669</v>
      </c>
    </row>
    <row r="37" spans="1:33" ht="12.75" customHeight="1" x14ac:dyDescent="0.35">
      <c r="A37" s="77" t="s">
        <v>142</v>
      </c>
      <c r="B37" s="76" t="s">
        <v>679</v>
      </c>
      <c r="C37" s="78" t="s">
        <v>143</v>
      </c>
      <c r="D37" s="75">
        <f t="shared" si="3"/>
        <v>46047</v>
      </c>
      <c r="E37" s="75" t="s">
        <v>569</v>
      </c>
      <c r="F37" s="74">
        <f t="shared" si="4"/>
        <v>46412</v>
      </c>
      <c r="G37" s="228"/>
      <c r="H37" s="19">
        <v>5</v>
      </c>
      <c r="I37" s="71" t="s">
        <v>19</v>
      </c>
      <c r="J37" s="2" t="s">
        <v>54</v>
      </c>
      <c r="K37" s="2" t="s">
        <v>759</v>
      </c>
      <c r="L37" s="2" t="s">
        <v>64</v>
      </c>
      <c r="M37" s="67">
        <v>0.45</v>
      </c>
      <c r="N37" s="67"/>
      <c r="O37" s="87" t="s">
        <v>946</v>
      </c>
      <c r="P37" s="137" t="s">
        <v>947</v>
      </c>
      <c r="Q37" s="46" t="s">
        <v>984</v>
      </c>
      <c r="R37" t="b">
        <f t="shared" si="16"/>
        <v>0</v>
      </c>
      <c r="S37" t="b">
        <f t="shared" si="5"/>
        <v>1</v>
      </c>
      <c r="T37" t="b">
        <f t="shared" si="6"/>
        <v>1</v>
      </c>
      <c r="U37" s="76" t="s">
        <v>679</v>
      </c>
      <c r="V37" s="225" t="str">
        <f t="shared" si="7"/>
        <v>BSFR 5 25/01/2029</v>
      </c>
      <c r="W37" s="67">
        <f t="shared" si="14"/>
        <v>1.1250000000000001E-2</v>
      </c>
      <c r="X37" s="151">
        <f t="shared" si="8"/>
        <v>2250.0000000000005</v>
      </c>
      <c r="Y37" s="152">
        <f ca="1">((Main!$C$4-D37)*(200000*(H37/100))/360)*0.025</f>
        <v>16.666666666666668</v>
      </c>
      <c r="Z37" s="152">
        <f t="shared" ca="1" si="9"/>
        <v>2266.666666666667</v>
      </c>
      <c r="AA37" s="153">
        <f t="shared" ca="1" si="10"/>
        <v>8324.3333333333339</v>
      </c>
      <c r="AC37" s="67">
        <f t="shared" si="15"/>
        <v>1.1596500000000001E-2</v>
      </c>
      <c r="AD37" s="151">
        <f t="shared" si="11"/>
        <v>2319.3000000000002</v>
      </c>
      <c r="AE37">
        <f ca="1">((Main!$C$4-D37)*(200000*(H37/100))/360)*0.02577</f>
        <v>17.18</v>
      </c>
      <c r="AF37" s="152">
        <f t="shared" ca="1" si="12"/>
        <v>2336.48</v>
      </c>
      <c r="AG37" s="153">
        <f t="shared" ca="1" si="13"/>
        <v>8580.7227999999996</v>
      </c>
    </row>
    <row r="38" spans="1:33" ht="12.75" customHeight="1" x14ac:dyDescent="0.35">
      <c r="A38" s="38" t="s">
        <v>144</v>
      </c>
      <c r="B38" s="46" t="s">
        <v>680</v>
      </c>
      <c r="C38" s="22" t="s">
        <v>145</v>
      </c>
      <c r="D38" s="75">
        <f t="shared" si="3"/>
        <v>46043</v>
      </c>
      <c r="E38" s="75" t="s">
        <v>566</v>
      </c>
      <c r="F38" s="74">
        <f t="shared" si="4"/>
        <v>46408</v>
      </c>
      <c r="G38" s="228"/>
      <c r="H38" s="19">
        <v>5.375</v>
      </c>
      <c r="I38" s="71" t="s">
        <v>19</v>
      </c>
      <c r="J38" s="2" t="s">
        <v>54</v>
      </c>
      <c r="K38" s="2" t="s">
        <v>759</v>
      </c>
      <c r="L38" s="2" t="s">
        <v>64</v>
      </c>
      <c r="M38" s="67">
        <v>0.45</v>
      </c>
      <c r="N38" s="67"/>
      <c r="O38" s="87" t="s">
        <v>946</v>
      </c>
      <c r="P38" s="137" t="s">
        <v>947</v>
      </c>
      <c r="Q38" s="46" t="s">
        <v>984</v>
      </c>
      <c r="R38" t="b">
        <f t="shared" si="16"/>
        <v>0</v>
      </c>
      <c r="S38" t="b">
        <f t="shared" si="5"/>
        <v>1</v>
      </c>
      <c r="T38" t="b">
        <f t="shared" si="6"/>
        <v>1</v>
      </c>
      <c r="U38" s="46" t="s">
        <v>680</v>
      </c>
      <c r="V38" s="225" t="str">
        <f t="shared" si="7"/>
        <v>BSFR 5.375 21/01/2030</v>
      </c>
      <c r="W38" s="67">
        <f t="shared" si="14"/>
        <v>1.1250000000000001E-2</v>
      </c>
      <c r="X38" s="151">
        <f t="shared" si="8"/>
        <v>2250.0000000000005</v>
      </c>
      <c r="Y38" s="152">
        <f ca="1">((Main!$C$4-D38)*(200000*(H38/100))/360)*0.025</f>
        <v>20.902777777777779</v>
      </c>
      <c r="Z38" s="152">
        <f t="shared" ca="1" si="9"/>
        <v>2270.9027777777783</v>
      </c>
      <c r="AA38" s="153">
        <f t="shared" ca="1" si="10"/>
        <v>8339.8904513888901</v>
      </c>
      <c r="AC38" s="67">
        <f t="shared" si="15"/>
        <v>1.1596500000000001E-2</v>
      </c>
      <c r="AD38" s="151">
        <f t="shared" si="11"/>
        <v>2319.3000000000002</v>
      </c>
      <c r="AE38">
        <f ca="1">((Main!$C$4-D38)*(200000*(H38/100))/360)*0.02577</f>
        <v>21.546583333333334</v>
      </c>
      <c r="AF38" s="152">
        <f t="shared" ca="1" si="12"/>
        <v>2340.8465833333335</v>
      </c>
      <c r="AG38" s="153">
        <f t="shared" ca="1" si="13"/>
        <v>8596.7590772916665</v>
      </c>
    </row>
    <row r="39" spans="1:33" ht="12.75" customHeight="1" x14ac:dyDescent="0.35">
      <c r="A39" s="38" t="s">
        <v>108</v>
      </c>
      <c r="B39" s="46" t="s">
        <v>107</v>
      </c>
      <c r="C39" s="22" t="s">
        <v>109</v>
      </c>
      <c r="D39" s="75">
        <f t="shared" si="3"/>
        <v>46051</v>
      </c>
      <c r="E39" s="75" t="s">
        <v>586</v>
      </c>
      <c r="F39" s="74">
        <f t="shared" si="4"/>
        <v>46416</v>
      </c>
      <c r="G39" s="228"/>
      <c r="H39" s="19">
        <v>6.25</v>
      </c>
      <c r="I39" s="71" t="s">
        <v>19</v>
      </c>
      <c r="J39" s="2" t="s">
        <v>4</v>
      </c>
      <c r="K39" s="2" t="s">
        <v>749</v>
      </c>
      <c r="L39" s="2" t="s">
        <v>110</v>
      </c>
      <c r="M39" s="67">
        <v>0.45</v>
      </c>
      <c r="N39" s="67"/>
      <c r="O39" s="87" t="s">
        <v>928</v>
      </c>
      <c r="P39" s="137" t="s">
        <v>929</v>
      </c>
      <c r="Q39" s="46" t="s">
        <v>107</v>
      </c>
      <c r="R39" t="b">
        <f t="shared" si="16"/>
        <v>1</v>
      </c>
      <c r="S39" t="b">
        <f t="shared" si="5"/>
        <v>1</v>
      </c>
      <c r="T39" t="b">
        <f t="shared" si="6"/>
        <v>1</v>
      </c>
      <c r="U39" s="46" t="s">
        <v>107</v>
      </c>
      <c r="V39" s="225" t="str">
        <f t="shared" si="7"/>
        <v>BEXBAH 6.25 29/01/2035</v>
      </c>
      <c r="W39" s="67">
        <f t="shared" si="14"/>
        <v>1.1250000000000001E-2</v>
      </c>
      <c r="X39" s="151">
        <f t="shared" si="8"/>
        <v>2250.0000000000005</v>
      </c>
      <c r="Y39" s="152">
        <f ca="1">((Main!$C$4-D39)*(200000*(H39/100))/360)*0.025</f>
        <v>17.361111111111111</v>
      </c>
      <c r="Z39" s="152">
        <f t="shared" ca="1" si="9"/>
        <v>2267.3611111111118</v>
      </c>
      <c r="AA39" s="153">
        <f t="shared" ca="1" si="10"/>
        <v>8326.8836805555584</v>
      </c>
      <c r="AC39" s="67">
        <f t="shared" si="15"/>
        <v>1.1596500000000001E-2</v>
      </c>
      <c r="AD39" s="151">
        <f t="shared" si="11"/>
        <v>2319.3000000000002</v>
      </c>
      <c r="AE39">
        <f ca="1">((Main!$C$4-D39)*(200000*(H39/100))/360)*0.02577</f>
        <v>17.895833333333336</v>
      </c>
      <c r="AF39" s="152">
        <f t="shared" ca="1" si="12"/>
        <v>2337.1958333333337</v>
      </c>
      <c r="AG39" s="153">
        <f t="shared" ca="1" si="13"/>
        <v>8583.351697916667</v>
      </c>
    </row>
    <row r="40" spans="1:33" ht="12.75" customHeight="1" x14ac:dyDescent="0.35">
      <c r="A40" s="38" t="s">
        <v>129</v>
      </c>
      <c r="B40" s="46" t="s">
        <v>691</v>
      </c>
      <c r="C40" s="22" t="s">
        <v>130</v>
      </c>
      <c r="D40" s="75">
        <f t="shared" si="3"/>
        <v>45876</v>
      </c>
      <c r="E40" s="75" t="s">
        <v>587</v>
      </c>
      <c r="F40" s="74">
        <f t="shared" si="4"/>
        <v>46241</v>
      </c>
      <c r="G40" s="228"/>
      <c r="H40" s="19">
        <v>8.125</v>
      </c>
      <c r="I40" s="71" t="s">
        <v>19</v>
      </c>
      <c r="J40" s="2" t="s">
        <v>4</v>
      </c>
      <c r="K40" s="2" t="s">
        <v>749</v>
      </c>
      <c r="L40" s="2" t="s">
        <v>5</v>
      </c>
      <c r="M40" s="67">
        <v>0.45</v>
      </c>
      <c r="N40" s="67"/>
      <c r="O40" s="87" t="s">
        <v>928</v>
      </c>
      <c r="P40" s="137" t="s">
        <v>929</v>
      </c>
      <c r="Q40" s="46" t="s">
        <v>985</v>
      </c>
      <c r="R40" t="b">
        <f t="shared" si="16"/>
        <v>0</v>
      </c>
      <c r="S40" t="b">
        <f t="shared" si="5"/>
        <v>1</v>
      </c>
      <c r="T40" t="b">
        <f t="shared" si="6"/>
        <v>1</v>
      </c>
      <c r="U40" s="46" t="s">
        <v>691</v>
      </c>
      <c r="V40" s="225" t="str">
        <f t="shared" si="7"/>
        <v>BINHLD 8.125 07/08/2030</v>
      </c>
      <c r="W40" s="67">
        <f t="shared" si="14"/>
        <v>1.1250000000000001E-2</v>
      </c>
      <c r="X40" s="151">
        <f t="shared" si="8"/>
        <v>2250.0000000000005</v>
      </c>
      <c r="Y40" s="152">
        <f ca="1">((Main!$C$4-D40)*(200000*(H40/100))/360)*0.025</f>
        <v>220.05208333333337</v>
      </c>
      <c r="Z40" s="152">
        <f t="shared" ca="1" si="9"/>
        <v>2470.0520833333339</v>
      </c>
      <c r="AA40" s="153">
        <f t="shared" ca="1" si="10"/>
        <v>9071.2662760416679</v>
      </c>
      <c r="AC40" s="67">
        <f t="shared" si="15"/>
        <v>1.1596500000000001E-2</v>
      </c>
      <c r="AD40" s="151">
        <f t="shared" si="11"/>
        <v>2319.3000000000002</v>
      </c>
      <c r="AE40">
        <f ca="1">((Main!$C$4-D40)*(200000*(H40/100))/360)*0.02577</f>
        <v>226.82968750000003</v>
      </c>
      <c r="AF40" s="152">
        <f t="shared" ca="1" si="12"/>
        <v>2546.1296875000003</v>
      </c>
      <c r="AG40" s="153">
        <f t="shared" ca="1" si="13"/>
        <v>9350.66127734375</v>
      </c>
    </row>
    <row r="41" spans="1:33" ht="12.75" customHeight="1" x14ac:dyDescent="0.35">
      <c r="A41" s="38" t="s">
        <v>131</v>
      </c>
      <c r="B41" s="46" t="s">
        <v>692</v>
      </c>
      <c r="C41" s="22" t="s">
        <v>132</v>
      </c>
      <c r="D41" s="75">
        <f t="shared" si="3"/>
        <v>45897</v>
      </c>
      <c r="E41" s="75" t="s">
        <v>588</v>
      </c>
      <c r="F41" s="74">
        <f t="shared" si="4"/>
        <v>46262</v>
      </c>
      <c r="G41" s="228"/>
      <c r="H41" s="19">
        <v>9.625</v>
      </c>
      <c r="I41" s="71" t="s">
        <v>19</v>
      </c>
      <c r="J41" s="2" t="s">
        <v>4</v>
      </c>
      <c r="K41" s="2" t="s">
        <v>749</v>
      </c>
      <c r="L41" s="2" t="s">
        <v>5</v>
      </c>
      <c r="M41" s="67">
        <v>0.45</v>
      </c>
      <c r="N41" s="67"/>
      <c r="O41" s="87" t="s">
        <v>928</v>
      </c>
      <c r="P41" s="137" t="s">
        <v>929</v>
      </c>
      <c r="Q41" s="46" t="s">
        <v>985</v>
      </c>
      <c r="R41" t="b">
        <f t="shared" si="16"/>
        <v>0</v>
      </c>
      <c r="S41" t="b">
        <f t="shared" si="5"/>
        <v>1</v>
      </c>
      <c r="T41" t="b">
        <f t="shared" si="6"/>
        <v>1</v>
      </c>
      <c r="U41" s="46" t="s">
        <v>692</v>
      </c>
      <c r="V41" s="225" t="str">
        <f t="shared" si="7"/>
        <v>BINHLD 9.625 28/02/2027</v>
      </c>
      <c r="W41" s="67">
        <f t="shared" si="14"/>
        <v>1.1250000000000001E-2</v>
      </c>
      <c r="X41" s="151">
        <f t="shared" si="8"/>
        <v>2250.0000000000005</v>
      </c>
      <c r="Y41" s="152">
        <f ca="1">((Main!$C$4-D41)*(200000*(H41/100))/360)*0.025</f>
        <v>232.60416666666666</v>
      </c>
      <c r="Z41" s="152">
        <f t="shared" ca="1" si="9"/>
        <v>2482.604166666667</v>
      </c>
      <c r="AA41" s="153">
        <f t="shared" ca="1" si="10"/>
        <v>9117.363802083335</v>
      </c>
      <c r="AC41" s="67">
        <f t="shared" si="15"/>
        <v>1.1596500000000001E-2</v>
      </c>
      <c r="AD41" s="151">
        <f t="shared" si="11"/>
        <v>2319.3000000000002</v>
      </c>
      <c r="AE41">
        <f ca="1">((Main!$C$4-D41)*(200000*(H41/100))/360)*0.02577</f>
        <v>239.76837499999999</v>
      </c>
      <c r="AF41" s="152">
        <f t="shared" ca="1" si="12"/>
        <v>2559.0683750000003</v>
      </c>
      <c r="AG41" s="153">
        <f t="shared" ca="1" si="13"/>
        <v>9398.1786071875013</v>
      </c>
    </row>
    <row r="42" spans="1:33" ht="12.75" customHeight="1" x14ac:dyDescent="0.35">
      <c r="A42" s="38" t="s">
        <v>133</v>
      </c>
      <c r="B42" s="46" t="s">
        <v>726</v>
      </c>
      <c r="C42" s="22" t="s">
        <v>134</v>
      </c>
      <c r="D42" s="75">
        <f t="shared" si="3"/>
        <v>45931</v>
      </c>
      <c r="E42" s="75" t="s">
        <v>561</v>
      </c>
      <c r="F42" s="74">
        <f t="shared" si="4"/>
        <v>46296</v>
      </c>
      <c r="G42" s="228"/>
      <c r="H42" s="19">
        <v>3.95</v>
      </c>
      <c r="I42" s="71" t="s">
        <v>19</v>
      </c>
      <c r="J42" s="2" t="s">
        <v>11</v>
      </c>
      <c r="K42" s="2" t="s">
        <v>751</v>
      </c>
      <c r="L42" s="2" t="s">
        <v>12</v>
      </c>
      <c r="M42" s="67">
        <v>1</v>
      </c>
      <c r="N42" s="67"/>
      <c r="O42" s="87" t="s">
        <v>937</v>
      </c>
      <c r="P42" s="141" t="s">
        <v>936</v>
      </c>
      <c r="Q42" s="46" t="s">
        <v>986</v>
      </c>
      <c r="R42" t="b">
        <f t="shared" si="16"/>
        <v>0</v>
      </c>
      <c r="S42" t="b">
        <f t="shared" si="5"/>
        <v>1</v>
      </c>
      <c r="T42" t="b">
        <f t="shared" si="6"/>
        <v>1</v>
      </c>
      <c r="U42" s="46" t="s">
        <v>726</v>
      </c>
      <c r="V42" s="225" t="str">
        <f t="shared" si="7"/>
        <v>BOUSKK 3.95 PERP Corp</v>
      </c>
      <c r="W42" s="67">
        <f t="shared" si="14"/>
        <v>2.5000000000000001E-2</v>
      </c>
      <c r="X42" s="151">
        <f t="shared" si="8"/>
        <v>5000</v>
      </c>
      <c r="Y42" s="152">
        <f ca="1">((Main!$C$4-D42)*(200000*(H42/100))/360)*0.025</f>
        <v>76.805555555555557</v>
      </c>
      <c r="Z42" s="152">
        <f t="shared" ca="1" si="9"/>
        <v>5076.8055555555557</v>
      </c>
      <c r="AA42" s="153">
        <f t="shared" ca="1" si="10"/>
        <v>18644.568402777779</v>
      </c>
      <c r="AC42" s="67">
        <f t="shared" si="15"/>
        <v>2.5770000000000001E-2</v>
      </c>
      <c r="AD42" s="151">
        <f t="shared" si="11"/>
        <v>5154</v>
      </c>
      <c r="AE42">
        <f ca="1">((Main!$C$4-D42)*(200000*(H42/100))/360)*0.02577</f>
        <v>79.171166666666664</v>
      </c>
      <c r="AF42" s="152">
        <f t="shared" ca="1" si="12"/>
        <v>5233.171166666667</v>
      </c>
      <c r="AG42" s="153">
        <f t="shared" ca="1" si="13"/>
        <v>19218.821109583332</v>
      </c>
    </row>
    <row r="43" spans="1:33" ht="12.75" customHeight="1" x14ac:dyDescent="0.35">
      <c r="A43" s="38" t="s">
        <v>135</v>
      </c>
      <c r="B43" s="46" t="s">
        <v>724</v>
      </c>
      <c r="C43" s="22" t="s">
        <v>136</v>
      </c>
      <c r="D43" s="75">
        <f t="shared" si="3"/>
        <v>45929</v>
      </c>
      <c r="E43" s="75" t="s">
        <v>560</v>
      </c>
      <c r="F43" s="74">
        <f t="shared" si="4"/>
        <v>46294</v>
      </c>
      <c r="G43" s="228"/>
      <c r="H43" s="19">
        <v>3.3889999999999998</v>
      </c>
      <c r="I43" s="71" t="s">
        <v>19</v>
      </c>
      <c r="J43" s="2" t="s">
        <v>54</v>
      </c>
      <c r="K43" s="2" t="s">
        <v>759</v>
      </c>
      <c r="L43" s="2" t="s">
        <v>137</v>
      </c>
      <c r="M43" s="67">
        <v>0.45</v>
      </c>
      <c r="N43" s="67"/>
      <c r="O43" s="87" t="s">
        <v>946</v>
      </c>
      <c r="P43" s="137" t="s">
        <v>947</v>
      </c>
      <c r="Q43" s="46" t="s">
        <v>986</v>
      </c>
      <c r="R43" t="b">
        <f t="shared" si="16"/>
        <v>0</v>
      </c>
      <c r="S43" t="b">
        <f t="shared" si="5"/>
        <v>1</v>
      </c>
      <c r="T43" t="b">
        <f t="shared" si="6"/>
        <v>1</v>
      </c>
      <c r="U43" s="46" t="s">
        <v>724</v>
      </c>
      <c r="V43" s="225" t="str">
        <f t="shared" si="7"/>
        <v>BOUSUK 3.389 03/29/27 EMTN</v>
      </c>
      <c r="W43" s="67">
        <f t="shared" si="14"/>
        <v>1.1250000000000001E-2</v>
      </c>
      <c r="X43" s="151">
        <f t="shared" si="8"/>
        <v>2250.0000000000005</v>
      </c>
      <c r="Y43" s="152">
        <f ca="1">((Main!$C$4-D43)*(200000*(H43/100))/360)*0.025</f>
        <v>66.838611111111106</v>
      </c>
      <c r="Z43" s="152">
        <f t="shared" ca="1" si="9"/>
        <v>2316.8386111111117</v>
      </c>
      <c r="AA43" s="153">
        <f t="shared" ca="1" si="10"/>
        <v>8508.5897993055569</v>
      </c>
      <c r="AC43" s="67">
        <f t="shared" si="15"/>
        <v>1.1596500000000001E-2</v>
      </c>
      <c r="AD43" s="151">
        <f t="shared" si="11"/>
        <v>2319.3000000000002</v>
      </c>
      <c r="AE43">
        <f ca="1">((Main!$C$4-D43)*(200000*(H43/100))/360)*0.02577</f>
        <v>68.897240333333329</v>
      </c>
      <c r="AF43" s="152">
        <f t="shared" ca="1" si="12"/>
        <v>2388.1972403333334</v>
      </c>
      <c r="AG43" s="153">
        <f t="shared" ca="1" si="13"/>
        <v>8770.6543651241664</v>
      </c>
    </row>
    <row r="44" spans="1:33" ht="12.75" customHeight="1" x14ac:dyDescent="0.35">
      <c r="A44" s="38" t="s">
        <v>138</v>
      </c>
      <c r="B44" s="46" t="s">
        <v>725</v>
      </c>
      <c r="C44" s="22" t="s">
        <v>139</v>
      </c>
      <c r="D44" s="75">
        <f t="shared" si="3"/>
        <v>45995</v>
      </c>
      <c r="E44" s="75" t="s">
        <v>564</v>
      </c>
      <c r="F44" s="74">
        <f t="shared" si="4"/>
        <v>46360</v>
      </c>
      <c r="G44" s="228"/>
      <c r="H44" s="19">
        <v>4.9729999999999999</v>
      </c>
      <c r="I44" s="71" t="s">
        <v>19</v>
      </c>
      <c r="J44" s="2" t="s">
        <v>54</v>
      </c>
      <c r="K44" s="2" t="s">
        <v>759</v>
      </c>
      <c r="L44" s="2" t="s">
        <v>137</v>
      </c>
      <c r="M44" s="67">
        <v>0.45</v>
      </c>
      <c r="N44" s="67"/>
      <c r="O44" s="87" t="s">
        <v>946</v>
      </c>
      <c r="P44" s="137" t="s">
        <v>947</v>
      </c>
      <c r="Q44" s="46" t="s">
        <v>986</v>
      </c>
      <c r="R44" t="b">
        <f t="shared" si="16"/>
        <v>0</v>
      </c>
      <c r="S44" t="b">
        <f t="shared" si="5"/>
        <v>1</v>
      </c>
      <c r="T44" t="b">
        <f t="shared" si="6"/>
        <v>1</v>
      </c>
      <c r="U44" s="46" t="s">
        <v>725</v>
      </c>
      <c r="V44" s="225" t="str">
        <f t="shared" si="7"/>
        <v>BOUSUK 4.973 06/04/30 EMTN</v>
      </c>
      <c r="W44" s="67">
        <f t="shared" si="14"/>
        <v>1.1250000000000001E-2</v>
      </c>
      <c r="X44" s="151">
        <f t="shared" si="8"/>
        <v>2250.0000000000005</v>
      </c>
      <c r="Y44" s="152">
        <f ca="1">((Main!$C$4-D44)*(200000*(H44/100))/360)*0.025</f>
        <v>52.492777777777782</v>
      </c>
      <c r="Z44" s="152">
        <f t="shared" ca="1" si="9"/>
        <v>2302.4927777777784</v>
      </c>
      <c r="AA44" s="153">
        <f t="shared" ca="1" si="10"/>
        <v>8455.9047263888915</v>
      </c>
      <c r="AC44" s="67">
        <f t="shared" si="15"/>
        <v>1.1596500000000001E-2</v>
      </c>
      <c r="AD44" s="151">
        <f t="shared" si="11"/>
        <v>2319.3000000000002</v>
      </c>
      <c r="AE44">
        <f ca="1">((Main!$C$4-D44)*(200000*(H44/100))/360)*0.02577</f>
        <v>54.10955533333334</v>
      </c>
      <c r="AF44" s="152">
        <f t="shared" ca="1" si="12"/>
        <v>2373.4095553333336</v>
      </c>
      <c r="AG44" s="153">
        <f t="shared" ca="1" si="13"/>
        <v>8716.3465919616683</v>
      </c>
    </row>
    <row r="45" spans="1:33" ht="12.75" customHeight="1" x14ac:dyDescent="0.35">
      <c r="A45" s="38" t="s">
        <v>146</v>
      </c>
      <c r="B45" s="46" t="s">
        <v>693</v>
      </c>
      <c r="C45" s="22" t="s">
        <v>147</v>
      </c>
      <c r="D45" s="75">
        <f t="shared" si="3"/>
        <v>45895</v>
      </c>
      <c r="E45" s="75" t="s">
        <v>590</v>
      </c>
      <c r="F45" s="74">
        <f t="shared" si="4"/>
        <v>46260</v>
      </c>
      <c r="G45" s="228"/>
      <c r="H45" s="19">
        <v>7</v>
      </c>
      <c r="I45" s="71" t="s">
        <v>19</v>
      </c>
      <c r="J45" s="2" t="s">
        <v>4</v>
      </c>
      <c r="K45" s="2" t="s">
        <v>749</v>
      </c>
      <c r="L45" s="2" t="s">
        <v>5</v>
      </c>
      <c r="M45" s="67">
        <v>0.45</v>
      </c>
      <c r="N45" s="67"/>
      <c r="O45" s="87" t="s">
        <v>928</v>
      </c>
      <c r="P45" s="137" t="s">
        <v>929</v>
      </c>
      <c r="Q45" s="46" t="s">
        <v>987</v>
      </c>
      <c r="R45" t="b">
        <f t="shared" si="16"/>
        <v>0</v>
      </c>
      <c r="S45" t="b">
        <f t="shared" si="5"/>
        <v>1</v>
      </c>
      <c r="T45" t="b">
        <f t="shared" si="6"/>
        <v>1</v>
      </c>
      <c r="U45" s="46" t="s">
        <v>693</v>
      </c>
      <c r="V45" s="225" t="str">
        <f t="shared" si="7"/>
        <v>DAMACR 7 26/08/2028</v>
      </c>
      <c r="W45" s="67">
        <f t="shared" si="14"/>
        <v>1.1250000000000001E-2</v>
      </c>
      <c r="X45" s="151">
        <f t="shared" si="8"/>
        <v>2250.0000000000005</v>
      </c>
      <c r="Y45" s="152">
        <f ca="1">((Main!$C$4-D45)*(200000*(H45/100))/360)*0.025</f>
        <v>171.11111111111117</v>
      </c>
      <c r="Z45" s="152">
        <f t="shared" ca="1" si="9"/>
        <v>2421.1111111111118</v>
      </c>
      <c r="AA45" s="153">
        <f t="shared" ca="1" si="10"/>
        <v>8891.5305555555569</v>
      </c>
      <c r="AC45" s="67">
        <f t="shared" si="15"/>
        <v>1.1596500000000001E-2</v>
      </c>
      <c r="AD45" s="151">
        <f t="shared" si="11"/>
        <v>2319.3000000000002</v>
      </c>
      <c r="AE45">
        <f ca="1">((Main!$C$4-D45)*(200000*(H45/100))/360)*0.02577</f>
        <v>176.38133333333337</v>
      </c>
      <c r="AF45" s="152">
        <f t="shared" ca="1" si="12"/>
        <v>2495.6813333333334</v>
      </c>
      <c r="AG45" s="153">
        <f t="shared" ca="1" si="13"/>
        <v>9165.3896966666671</v>
      </c>
    </row>
    <row r="46" spans="1:33" ht="12.75" customHeight="1" x14ac:dyDescent="0.35">
      <c r="A46" s="38" t="s">
        <v>148</v>
      </c>
      <c r="B46" s="46" t="s">
        <v>694</v>
      </c>
      <c r="C46" s="22" t="s">
        <v>149</v>
      </c>
      <c r="D46" s="75">
        <f t="shared" si="3"/>
        <v>45957</v>
      </c>
      <c r="E46" s="75" t="s">
        <v>591</v>
      </c>
      <c r="F46" s="74">
        <f t="shared" si="4"/>
        <v>46322</v>
      </c>
      <c r="G46" s="228"/>
      <c r="H46" s="19">
        <v>7.75</v>
      </c>
      <c r="I46" s="71" t="s">
        <v>19</v>
      </c>
      <c r="J46" s="2" t="s">
        <v>4</v>
      </c>
      <c r="K46" s="2" t="s">
        <v>749</v>
      </c>
      <c r="L46" s="2" t="s">
        <v>5</v>
      </c>
      <c r="M46" s="67">
        <v>0.45</v>
      </c>
      <c r="N46" s="67"/>
      <c r="O46" s="87" t="s">
        <v>928</v>
      </c>
      <c r="P46" s="137" t="s">
        <v>929</v>
      </c>
      <c r="Q46" s="46" t="s">
        <v>987</v>
      </c>
      <c r="R46" t="b">
        <f t="shared" si="16"/>
        <v>0</v>
      </c>
      <c r="S46" t="b">
        <f t="shared" si="5"/>
        <v>1</v>
      </c>
      <c r="T46" t="b">
        <f t="shared" si="6"/>
        <v>1</v>
      </c>
      <c r="U46" s="46" t="s">
        <v>694</v>
      </c>
      <c r="V46" s="225" t="str">
        <f t="shared" si="7"/>
        <v>DAMACR 7.75 27/04/2026</v>
      </c>
      <c r="W46" s="67">
        <f t="shared" si="14"/>
        <v>1.1250000000000001E-2</v>
      </c>
      <c r="X46" s="151">
        <f t="shared" si="8"/>
        <v>2250.0000000000005</v>
      </c>
      <c r="Y46" s="152">
        <f ca="1">((Main!$C$4-D46)*(200000*(H46/100))/360)*0.025</f>
        <v>122.70833333333333</v>
      </c>
      <c r="Z46" s="152">
        <f t="shared" ca="1" si="9"/>
        <v>2372.7083333333339</v>
      </c>
      <c r="AA46" s="153">
        <f t="shared" ca="1" si="10"/>
        <v>8713.771354166669</v>
      </c>
      <c r="AC46" s="67">
        <f t="shared" si="15"/>
        <v>1.1596500000000001E-2</v>
      </c>
      <c r="AD46" s="151">
        <f t="shared" si="11"/>
        <v>2319.3000000000002</v>
      </c>
      <c r="AE46">
        <f ca="1">((Main!$C$4-D46)*(200000*(H46/100))/360)*0.02577</f>
        <v>126.48774999999999</v>
      </c>
      <c r="AF46" s="152">
        <f t="shared" ca="1" si="12"/>
        <v>2445.78775</v>
      </c>
      <c r="AG46" s="153">
        <f t="shared" ca="1" si="13"/>
        <v>8982.1555118750002</v>
      </c>
    </row>
    <row r="47" spans="1:33" ht="12.75" customHeight="1" x14ac:dyDescent="0.35">
      <c r="A47" s="38" t="s">
        <v>150</v>
      </c>
      <c r="B47" s="46" t="s">
        <v>695</v>
      </c>
      <c r="C47" s="22" t="s">
        <v>151</v>
      </c>
      <c r="D47" s="75">
        <f t="shared" si="3"/>
        <v>45942</v>
      </c>
      <c r="E47" s="75" t="s">
        <v>592</v>
      </c>
      <c r="F47" s="74">
        <f t="shared" si="4"/>
        <v>46307</v>
      </c>
      <c r="G47" s="228"/>
      <c r="H47" s="19">
        <v>8.375</v>
      </c>
      <c r="I47" s="71" t="s">
        <v>19</v>
      </c>
      <c r="J47" s="2" t="s">
        <v>4</v>
      </c>
      <c r="K47" s="2" t="s">
        <v>749</v>
      </c>
      <c r="L47" s="2" t="s">
        <v>5</v>
      </c>
      <c r="M47" s="67">
        <v>0.45</v>
      </c>
      <c r="N47" s="67"/>
      <c r="O47" s="87" t="s">
        <v>928</v>
      </c>
      <c r="P47" s="137" t="s">
        <v>929</v>
      </c>
      <c r="Q47" s="46" t="s">
        <v>987</v>
      </c>
      <c r="R47" t="b">
        <f t="shared" si="16"/>
        <v>0</v>
      </c>
      <c r="S47" t="b">
        <f t="shared" si="5"/>
        <v>1</v>
      </c>
      <c r="T47" t="b">
        <f t="shared" si="6"/>
        <v>1</v>
      </c>
      <c r="U47" s="46" t="s">
        <v>695</v>
      </c>
      <c r="V47" s="225" t="str">
        <f t="shared" si="7"/>
        <v>DAMACR 8.375 12/04/27</v>
      </c>
      <c r="W47" s="67">
        <f t="shared" si="14"/>
        <v>1.1250000000000001E-2</v>
      </c>
      <c r="X47" s="151">
        <f t="shared" si="8"/>
        <v>2250.0000000000005</v>
      </c>
      <c r="Y47" s="152">
        <f ca="1">((Main!$C$4-D47)*(200000*(H47/100))/360)*0.025</f>
        <v>150.05208333333334</v>
      </c>
      <c r="Z47" s="152">
        <f t="shared" ca="1" si="9"/>
        <v>2400.0520833333339</v>
      </c>
      <c r="AA47" s="153">
        <f t="shared" ca="1" si="10"/>
        <v>8814.191276041669</v>
      </c>
      <c r="AC47" s="67">
        <f t="shared" si="15"/>
        <v>1.1596500000000001E-2</v>
      </c>
      <c r="AD47" s="151">
        <f t="shared" si="11"/>
        <v>2319.3000000000002</v>
      </c>
      <c r="AE47">
        <f ca="1">((Main!$C$4-D47)*(200000*(H47/100))/360)*0.02577</f>
        <v>154.6736875</v>
      </c>
      <c r="AF47" s="152">
        <f t="shared" ca="1" si="12"/>
        <v>2473.9736875000003</v>
      </c>
      <c r="AG47" s="153">
        <f t="shared" ca="1" si="13"/>
        <v>9085.668367343751</v>
      </c>
    </row>
    <row r="48" spans="1:33" ht="12.75" customHeight="1" x14ac:dyDescent="0.35">
      <c r="A48" s="38" t="s">
        <v>152</v>
      </c>
      <c r="B48" s="46" t="s">
        <v>696</v>
      </c>
      <c r="C48" s="22" t="s">
        <v>153</v>
      </c>
      <c r="D48" s="75">
        <f t="shared" si="3"/>
        <v>46024</v>
      </c>
      <c r="E48" s="75" t="s">
        <v>593</v>
      </c>
      <c r="F48" s="74">
        <f t="shared" si="4"/>
        <v>46389</v>
      </c>
      <c r="G48" s="228"/>
      <c r="H48" s="19">
        <v>7.25</v>
      </c>
      <c r="I48" s="71" t="s">
        <v>19</v>
      </c>
      <c r="J48" s="2" t="s">
        <v>4</v>
      </c>
      <c r="K48" s="2" t="s">
        <v>749</v>
      </c>
      <c r="L48" s="2" t="s">
        <v>5</v>
      </c>
      <c r="M48" s="67">
        <v>0.45</v>
      </c>
      <c r="N48" s="67"/>
      <c r="O48" s="87" t="s">
        <v>928</v>
      </c>
      <c r="P48" s="137" t="s">
        <v>929</v>
      </c>
      <c r="Q48" s="46" t="s">
        <v>988</v>
      </c>
      <c r="R48" t="b">
        <f t="shared" si="16"/>
        <v>0</v>
      </c>
      <c r="S48" t="b">
        <f t="shared" si="5"/>
        <v>1</v>
      </c>
      <c r="T48" t="b">
        <f t="shared" si="6"/>
        <v>1</v>
      </c>
      <c r="U48" s="46" t="s">
        <v>696</v>
      </c>
      <c r="V48" s="225" t="str">
        <f t="shared" si="7"/>
        <v>DARALA 7.25 02/07/2030</v>
      </c>
      <c r="W48" s="67">
        <f t="shared" si="14"/>
        <v>1.1250000000000001E-2</v>
      </c>
      <c r="X48" s="151">
        <f t="shared" si="8"/>
        <v>2250.0000000000005</v>
      </c>
      <c r="Y48" s="152">
        <f ca="1">((Main!$C$4-D48)*(200000*(H48/100))/360)*0.025</f>
        <v>47.326388888888886</v>
      </c>
      <c r="Z48" s="152">
        <f t="shared" ca="1" si="9"/>
        <v>2297.3263888888891</v>
      </c>
      <c r="AA48" s="153">
        <f t="shared" ca="1" si="10"/>
        <v>8436.9311631944456</v>
      </c>
      <c r="AC48" s="67">
        <f t="shared" si="15"/>
        <v>1.1596500000000001E-2</v>
      </c>
      <c r="AD48" s="151">
        <f t="shared" si="11"/>
        <v>2319.3000000000002</v>
      </c>
      <c r="AE48">
        <f ca="1">((Main!$C$4-D48)*(200000*(H48/100))/360)*0.02577</f>
        <v>48.78404166666666</v>
      </c>
      <c r="AF48" s="152">
        <f t="shared" ca="1" si="12"/>
        <v>2368.084041666667</v>
      </c>
      <c r="AG48" s="153">
        <f t="shared" ca="1" si="13"/>
        <v>8696.7886430208346</v>
      </c>
    </row>
    <row r="49" spans="1:33" ht="12.75" customHeight="1" x14ac:dyDescent="0.35">
      <c r="A49" s="38" t="s">
        <v>154</v>
      </c>
      <c r="B49" s="46" t="s">
        <v>697</v>
      </c>
      <c r="C49" s="22" t="s">
        <v>155</v>
      </c>
      <c r="D49" s="75">
        <f t="shared" si="3"/>
        <v>45876</v>
      </c>
      <c r="E49" s="75" t="s">
        <v>587</v>
      </c>
      <c r="F49" s="74">
        <f t="shared" si="4"/>
        <v>46241</v>
      </c>
      <c r="G49" s="228"/>
      <c r="H49" s="19">
        <v>7.75</v>
      </c>
      <c r="I49" s="71" t="s">
        <v>19</v>
      </c>
      <c r="J49" s="2" t="s">
        <v>4</v>
      </c>
      <c r="K49" s="2" t="s">
        <v>749</v>
      </c>
      <c r="L49" s="2" t="s">
        <v>5</v>
      </c>
      <c r="M49" s="67">
        <v>0.45</v>
      </c>
      <c r="N49" s="67"/>
      <c r="O49" s="87" t="s">
        <v>928</v>
      </c>
      <c r="P49" s="137" t="s">
        <v>929</v>
      </c>
      <c r="Q49" s="46" t="s">
        <v>988</v>
      </c>
      <c r="R49" t="b">
        <f t="shared" si="16"/>
        <v>0</v>
      </c>
      <c r="S49" t="b">
        <f t="shared" si="5"/>
        <v>1</v>
      </c>
      <c r="T49" t="b">
        <f t="shared" si="6"/>
        <v>1</v>
      </c>
      <c r="U49" s="46" t="s">
        <v>697</v>
      </c>
      <c r="V49" s="225" t="str">
        <f t="shared" si="7"/>
        <v>DARALA 7.75 26 CORP</v>
      </c>
      <c r="W49" s="67">
        <f t="shared" si="14"/>
        <v>1.1250000000000001E-2</v>
      </c>
      <c r="X49" s="151">
        <f t="shared" si="8"/>
        <v>2250.0000000000005</v>
      </c>
      <c r="Y49" s="152">
        <f ca="1">((Main!$C$4-D49)*(200000*(H49/100))/360)*0.025</f>
        <v>209.89583333333337</v>
      </c>
      <c r="Z49" s="152">
        <f t="shared" ca="1" si="9"/>
        <v>2459.8958333333339</v>
      </c>
      <c r="AA49" s="153">
        <f t="shared" ca="1" si="10"/>
        <v>9033.9674479166679</v>
      </c>
      <c r="AC49" s="67">
        <f t="shared" si="15"/>
        <v>1.1596500000000001E-2</v>
      </c>
      <c r="AD49" s="151">
        <f t="shared" si="11"/>
        <v>2319.3000000000002</v>
      </c>
      <c r="AE49">
        <f ca="1">((Main!$C$4-D49)*(200000*(H49/100))/360)*0.02577</f>
        <v>216.36062500000003</v>
      </c>
      <c r="AF49" s="152">
        <f t="shared" ca="1" si="12"/>
        <v>2535.6606250000004</v>
      </c>
      <c r="AG49" s="153">
        <f t="shared" ca="1" si="13"/>
        <v>9312.2136453125022</v>
      </c>
    </row>
    <row r="50" spans="1:33" ht="12.75" customHeight="1" x14ac:dyDescent="0.35">
      <c r="A50" s="38" t="s">
        <v>156</v>
      </c>
      <c r="B50" s="46" t="s">
        <v>698</v>
      </c>
      <c r="C50" s="22" t="s">
        <v>157</v>
      </c>
      <c r="D50" s="75">
        <f t="shared" si="3"/>
        <v>45894</v>
      </c>
      <c r="E50" s="75" t="s">
        <v>594</v>
      </c>
      <c r="F50" s="74">
        <f t="shared" si="4"/>
        <v>46259</v>
      </c>
      <c r="G50" s="228"/>
      <c r="H50" s="19">
        <v>8</v>
      </c>
      <c r="I50" s="71" t="s">
        <v>19</v>
      </c>
      <c r="J50" s="2" t="s">
        <v>4</v>
      </c>
      <c r="K50" s="2" t="s">
        <v>749</v>
      </c>
      <c r="L50" s="2" t="s">
        <v>5</v>
      </c>
      <c r="M50" s="67">
        <v>0.45</v>
      </c>
      <c r="N50" s="67"/>
      <c r="O50" s="87" t="s">
        <v>928</v>
      </c>
      <c r="P50" s="137" t="s">
        <v>929</v>
      </c>
      <c r="Q50" s="46" t="s">
        <v>988</v>
      </c>
      <c r="R50" t="b">
        <f t="shared" si="16"/>
        <v>0</v>
      </c>
      <c r="S50" t="b">
        <f t="shared" si="5"/>
        <v>1</v>
      </c>
      <c r="T50" t="b">
        <f t="shared" si="6"/>
        <v>1</v>
      </c>
      <c r="U50" s="46" t="s">
        <v>698</v>
      </c>
      <c r="V50" s="225" t="str">
        <f t="shared" si="7"/>
        <v>DARALA 8- 02/29</v>
      </c>
      <c r="W50" s="67">
        <f t="shared" si="14"/>
        <v>1.1250000000000001E-2</v>
      </c>
      <c r="X50" s="151">
        <f t="shared" si="8"/>
        <v>2250.0000000000005</v>
      </c>
      <c r="Y50" s="152">
        <f ca="1">((Main!$C$4-D50)*(200000*(H50/100))/360)*0.025</f>
        <v>196.66666666666669</v>
      </c>
      <c r="Z50" s="152">
        <f t="shared" ca="1" si="9"/>
        <v>2446.666666666667</v>
      </c>
      <c r="AA50" s="153">
        <f t="shared" ca="1" si="10"/>
        <v>8985.383333333335</v>
      </c>
      <c r="AC50" s="67">
        <f t="shared" si="15"/>
        <v>1.1596500000000001E-2</v>
      </c>
      <c r="AD50" s="151">
        <f t="shared" si="11"/>
        <v>2319.3000000000002</v>
      </c>
      <c r="AE50">
        <f ca="1">((Main!$C$4-D50)*(200000*(H50/100))/360)*0.02577</f>
        <v>202.72400000000002</v>
      </c>
      <c r="AF50" s="152">
        <f t="shared" ca="1" si="12"/>
        <v>2522.0240000000003</v>
      </c>
      <c r="AG50" s="153">
        <f t="shared" ca="1" si="13"/>
        <v>9262.1331400000017</v>
      </c>
    </row>
    <row r="51" spans="1:33" ht="12.75" customHeight="1" x14ac:dyDescent="0.35">
      <c r="A51" s="38" t="s">
        <v>183</v>
      </c>
      <c r="B51" s="46" t="s">
        <v>699</v>
      </c>
      <c r="C51" s="22" t="s">
        <v>184</v>
      </c>
      <c r="D51" s="75">
        <f t="shared" si="3"/>
        <v>45913</v>
      </c>
      <c r="E51" s="75" t="s">
        <v>668</v>
      </c>
      <c r="F51" s="74">
        <f t="shared" si="4"/>
        <v>46278</v>
      </c>
      <c r="G51" s="228"/>
      <c r="H51" s="19">
        <v>5.5</v>
      </c>
      <c r="I51" s="71" t="s">
        <v>19</v>
      </c>
      <c r="J51" s="2" t="s">
        <v>54</v>
      </c>
      <c r="K51" s="2" t="s">
        <v>759</v>
      </c>
      <c r="L51" s="2" t="s">
        <v>5</v>
      </c>
      <c r="M51" s="67">
        <v>0.45</v>
      </c>
      <c r="N51" s="67"/>
      <c r="O51" s="87" t="s">
        <v>946</v>
      </c>
      <c r="P51" s="137" t="s">
        <v>947</v>
      </c>
      <c r="Q51" s="46" t="s">
        <v>989</v>
      </c>
      <c r="R51" t="b">
        <f t="shared" si="16"/>
        <v>0</v>
      </c>
      <c r="S51" t="b">
        <f t="shared" si="5"/>
        <v>1</v>
      </c>
      <c r="T51" t="b">
        <f t="shared" si="6"/>
        <v>1</v>
      </c>
      <c r="U51" s="46" t="s">
        <v>699</v>
      </c>
      <c r="V51" s="225" t="str">
        <f t="shared" si="7"/>
        <v>DPWDU 5.50 13/09/2033</v>
      </c>
      <c r="W51" s="67">
        <f t="shared" si="14"/>
        <v>1.1250000000000001E-2</v>
      </c>
      <c r="X51" s="151">
        <f t="shared" si="8"/>
        <v>2250.0000000000005</v>
      </c>
      <c r="Y51" s="152">
        <f ca="1">((Main!$C$4-D51)*(200000*(H51/100))/360)*0.025</f>
        <v>120.69444444444444</v>
      </c>
      <c r="Z51" s="152">
        <f t="shared" ca="1" si="9"/>
        <v>2370.6944444444448</v>
      </c>
      <c r="AA51" s="153">
        <f t="shared" ca="1" si="10"/>
        <v>8706.3753472222234</v>
      </c>
      <c r="AC51" s="67">
        <f t="shared" si="15"/>
        <v>1.1596500000000001E-2</v>
      </c>
      <c r="AD51" s="151">
        <f t="shared" si="11"/>
        <v>2319.3000000000002</v>
      </c>
      <c r="AE51">
        <f ca="1">((Main!$C$4-D51)*(200000*(H51/100))/360)*0.02577</f>
        <v>124.41183333333333</v>
      </c>
      <c r="AF51" s="152">
        <f t="shared" ca="1" si="12"/>
        <v>2443.7118333333337</v>
      </c>
      <c r="AG51" s="153">
        <f t="shared" ca="1" si="13"/>
        <v>8974.5317079166671</v>
      </c>
    </row>
    <row r="52" spans="1:33" ht="12.75" customHeight="1" x14ac:dyDescent="0.35">
      <c r="A52" s="38" t="s">
        <v>185</v>
      </c>
      <c r="B52" s="46" t="s">
        <v>700</v>
      </c>
      <c r="C52" s="22" t="s">
        <v>186</v>
      </c>
      <c r="D52" s="75">
        <f t="shared" si="3"/>
        <v>45969</v>
      </c>
      <c r="E52" s="75" t="s">
        <v>637</v>
      </c>
      <c r="F52" s="74">
        <f t="shared" si="4"/>
        <v>46334</v>
      </c>
      <c r="G52" s="228"/>
      <c r="H52" s="19">
        <v>5.5</v>
      </c>
      <c r="I52" s="71" t="s">
        <v>19</v>
      </c>
      <c r="J52" s="2" t="s">
        <v>54</v>
      </c>
      <c r="K52" s="2" t="s">
        <v>759</v>
      </c>
      <c r="L52" s="2" t="s">
        <v>5</v>
      </c>
      <c r="M52" s="67">
        <v>0.45</v>
      </c>
      <c r="N52" s="67"/>
      <c r="O52" s="87" t="s">
        <v>946</v>
      </c>
      <c r="P52" s="137" t="s">
        <v>947</v>
      </c>
      <c r="Q52" s="46" t="s">
        <v>989</v>
      </c>
      <c r="R52" t="b">
        <f t="shared" si="16"/>
        <v>0</v>
      </c>
      <c r="S52" t="b">
        <f t="shared" si="5"/>
        <v>1</v>
      </c>
      <c r="T52" t="b">
        <f t="shared" si="6"/>
        <v>1</v>
      </c>
      <c r="U52" s="46" t="s">
        <v>700</v>
      </c>
      <c r="V52" s="225" t="str">
        <f t="shared" si="7"/>
        <v>DPWORLD 5.5 08/05/35</v>
      </c>
      <c r="W52" s="67">
        <f t="shared" si="14"/>
        <v>1.1250000000000001E-2</v>
      </c>
      <c r="X52" s="151">
        <f t="shared" si="8"/>
        <v>2250.0000000000005</v>
      </c>
      <c r="Y52" s="152">
        <f ca="1">((Main!$C$4-D52)*(200000*(H52/100))/360)*0.025</f>
        <v>77.916666666666671</v>
      </c>
      <c r="Z52" s="152">
        <f t="shared" ca="1" si="9"/>
        <v>2327.916666666667</v>
      </c>
      <c r="AA52" s="153">
        <f t="shared" ca="1" si="10"/>
        <v>8549.273958333335</v>
      </c>
      <c r="AC52" s="67">
        <f t="shared" si="15"/>
        <v>1.1596500000000001E-2</v>
      </c>
      <c r="AD52" s="151">
        <f t="shared" si="11"/>
        <v>2319.3000000000002</v>
      </c>
      <c r="AE52">
        <f ca="1">((Main!$C$4-D52)*(200000*(H52/100))/360)*0.02577</f>
        <v>80.316500000000005</v>
      </c>
      <c r="AF52" s="152">
        <f t="shared" ca="1" si="12"/>
        <v>2399.6165000000001</v>
      </c>
      <c r="AG52" s="153">
        <f t="shared" ca="1" si="13"/>
        <v>8812.5915962500003</v>
      </c>
    </row>
    <row r="53" spans="1:33" ht="12.75" customHeight="1" x14ac:dyDescent="0.35">
      <c r="A53" s="38" t="s">
        <v>176</v>
      </c>
      <c r="B53" s="46" t="s">
        <v>701</v>
      </c>
      <c r="C53" s="22" t="s">
        <v>177</v>
      </c>
      <c r="D53" s="75">
        <f t="shared" si="3"/>
        <v>46052</v>
      </c>
      <c r="E53" s="75" t="s">
        <v>595</v>
      </c>
      <c r="F53" s="74">
        <f t="shared" si="4"/>
        <v>46417</v>
      </c>
      <c r="G53" s="228"/>
      <c r="H53" s="19">
        <v>3.7494999999999998</v>
      </c>
      <c r="I53" s="71" t="s">
        <v>19</v>
      </c>
      <c r="J53" s="2" t="s">
        <v>6</v>
      </c>
      <c r="K53" s="2" t="s">
        <v>736</v>
      </c>
      <c r="L53" s="64" t="s">
        <v>178</v>
      </c>
      <c r="M53" s="67">
        <v>1</v>
      </c>
      <c r="N53" s="67"/>
      <c r="O53" s="87" t="s">
        <v>938</v>
      </c>
      <c r="P53" s="137" t="s">
        <v>940</v>
      </c>
      <c r="Q53" s="46" t="s">
        <v>989</v>
      </c>
      <c r="R53" t="b">
        <f t="shared" si="16"/>
        <v>0</v>
      </c>
      <c r="S53" t="b">
        <f t="shared" si="5"/>
        <v>1</v>
      </c>
      <c r="T53" t="b">
        <f t="shared" si="6"/>
        <v>1</v>
      </c>
      <c r="U53" s="46" t="s">
        <v>701</v>
      </c>
      <c r="V53" s="225" t="str">
        <f t="shared" si="7"/>
        <v>DPWDU 3.7495-30/01/30</v>
      </c>
      <c r="W53" s="67">
        <f t="shared" si="14"/>
        <v>2.5000000000000001E-2</v>
      </c>
      <c r="X53" s="151">
        <f t="shared" si="8"/>
        <v>5000</v>
      </c>
      <c r="Y53" s="152">
        <f ca="1">((Main!$C$4-D53)*(200000*(H53/100))/360)*0.025</f>
        <v>9.8945138888888895</v>
      </c>
      <c r="Z53" s="152">
        <f t="shared" ca="1" si="9"/>
        <v>5009.8945138888885</v>
      </c>
      <c r="AA53" s="153">
        <f t="shared" ca="1" si="10"/>
        <v>18398.837602256943</v>
      </c>
      <c r="AC53" s="67">
        <f t="shared" si="15"/>
        <v>2.5770000000000001E-2</v>
      </c>
      <c r="AD53" s="151">
        <f t="shared" si="11"/>
        <v>5154</v>
      </c>
      <c r="AE53">
        <f ca="1">((Main!$C$4-D53)*(200000*(H53/100))/360)*0.02577</f>
        <v>10.199264916666667</v>
      </c>
      <c r="AF53" s="152">
        <f t="shared" ca="1" si="12"/>
        <v>5164.1992649166668</v>
      </c>
      <c r="AG53" s="153">
        <f t="shared" ca="1" si="13"/>
        <v>18965.521800406459</v>
      </c>
    </row>
    <row r="54" spans="1:33" ht="27.5" customHeight="1" x14ac:dyDescent="0.35">
      <c r="A54" s="38" t="s">
        <v>179</v>
      </c>
      <c r="B54" s="46" t="s">
        <v>727</v>
      </c>
      <c r="C54" s="22" t="s">
        <v>180</v>
      </c>
      <c r="D54" s="75">
        <f t="shared" si="3"/>
        <v>46040</v>
      </c>
      <c r="E54" s="75" t="s">
        <v>556</v>
      </c>
      <c r="F54" s="74">
        <f t="shared" si="4"/>
        <v>46405</v>
      </c>
      <c r="G54" s="228"/>
      <c r="H54" s="19">
        <v>3.875</v>
      </c>
      <c r="I54" s="71" t="s">
        <v>19</v>
      </c>
      <c r="J54" s="2" t="s">
        <v>6</v>
      </c>
      <c r="K54" s="2" t="s">
        <v>736</v>
      </c>
      <c r="L54" s="64" t="s">
        <v>178</v>
      </c>
      <c r="M54" s="67">
        <v>1</v>
      </c>
      <c r="N54" s="67"/>
      <c r="O54" s="87" t="s">
        <v>939</v>
      </c>
      <c r="P54" s="137" t="s">
        <v>940</v>
      </c>
      <c r="Q54" s="46" t="s">
        <v>989</v>
      </c>
      <c r="R54" t="b">
        <f t="shared" si="16"/>
        <v>0</v>
      </c>
      <c r="S54" t="b">
        <f t="shared" si="5"/>
        <v>1</v>
      </c>
      <c r="T54" t="b">
        <f t="shared" si="6"/>
        <v>1</v>
      </c>
      <c r="U54" s="46" t="s">
        <v>727</v>
      </c>
      <c r="V54" s="225" t="str">
        <f t="shared" si="7"/>
        <v>DPWDU 3.875-07/29</v>
      </c>
      <c r="W54" s="67">
        <f t="shared" si="14"/>
        <v>2.5000000000000001E-2</v>
      </c>
      <c r="X54" s="151">
        <f t="shared" si="8"/>
        <v>5000</v>
      </c>
      <c r="Y54" s="152">
        <f ca="1">((Main!$C$4-D54)*(200000*(H54/100))/360)*0.025</f>
        <v>16.684027777777779</v>
      </c>
      <c r="Z54" s="152">
        <f t="shared" ca="1" si="9"/>
        <v>5016.6840277777774</v>
      </c>
      <c r="AA54" s="153">
        <f t="shared" ca="1" si="10"/>
        <v>18423.772092013885</v>
      </c>
      <c r="AC54" s="67">
        <f t="shared" si="15"/>
        <v>2.5770000000000001E-2</v>
      </c>
      <c r="AD54" s="151">
        <f t="shared" si="11"/>
        <v>5154</v>
      </c>
      <c r="AE54">
        <f ca="1">((Main!$C$4-D54)*(200000*(H54/100))/360)*0.02577</f>
        <v>17.197895833333334</v>
      </c>
      <c r="AF54" s="152">
        <f t="shared" ca="1" si="12"/>
        <v>5171.197895833333</v>
      </c>
      <c r="AG54" s="153">
        <f t="shared" ca="1" si="13"/>
        <v>18991.224272447915</v>
      </c>
    </row>
    <row r="55" spans="1:33" ht="72.5" x14ac:dyDescent="0.35">
      <c r="A55" s="38" t="s">
        <v>181</v>
      </c>
      <c r="B55" s="46" t="s">
        <v>728</v>
      </c>
      <c r="C55" s="22" t="s">
        <v>182</v>
      </c>
      <c r="D55" s="75">
        <f t="shared" si="3"/>
        <v>45926</v>
      </c>
      <c r="E55" s="75" t="s">
        <v>596</v>
      </c>
      <c r="F55" s="74">
        <f t="shared" si="4"/>
        <v>46291</v>
      </c>
      <c r="G55" s="228"/>
      <c r="H55" s="19">
        <v>4.8479999999999999</v>
      </c>
      <c r="I55" s="71" t="s">
        <v>19</v>
      </c>
      <c r="J55" s="2" t="s">
        <v>6</v>
      </c>
      <c r="K55" s="2" t="s">
        <v>736</v>
      </c>
      <c r="L55" s="64" t="s">
        <v>178</v>
      </c>
      <c r="M55" s="67">
        <v>1</v>
      </c>
      <c r="N55" s="67"/>
      <c r="O55" s="87" t="s">
        <v>939</v>
      </c>
      <c r="P55" s="137" t="s">
        <v>940</v>
      </c>
      <c r="Q55" s="46" t="s">
        <v>989</v>
      </c>
      <c r="R55" t="b">
        <f t="shared" si="16"/>
        <v>0</v>
      </c>
      <c r="S55" t="b">
        <f t="shared" si="5"/>
        <v>1</v>
      </c>
      <c r="T55" t="b">
        <f t="shared" si="6"/>
        <v>1</v>
      </c>
      <c r="U55" s="46" t="s">
        <v>728</v>
      </c>
      <c r="V55" s="225" t="str">
        <f t="shared" si="7"/>
        <v>DPWDU 4.848-09/28</v>
      </c>
      <c r="W55" s="67">
        <f t="shared" si="14"/>
        <v>2.5000000000000001E-2</v>
      </c>
      <c r="X55" s="151">
        <f t="shared" si="8"/>
        <v>5000</v>
      </c>
      <c r="Y55" s="152">
        <f ca="1">((Main!$C$4-D55)*(200000*(H55/100))/360)*0.025</f>
        <v>97.633333333333326</v>
      </c>
      <c r="Z55" s="152">
        <f t="shared" ca="1" si="9"/>
        <v>5097.6333333333332</v>
      </c>
      <c r="AA55" s="153">
        <f t="shared" ca="1" si="10"/>
        <v>18721.058416666667</v>
      </c>
      <c r="AC55" s="67">
        <f t="shared" si="15"/>
        <v>2.5770000000000001E-2</v>
      </c>
      <c r="AD55" s="151">
        <f t="shared" si="11"/>
        <v>5154</v>
      </c>
      <c r="AE55">
        <f ca="1">((Main!$C$4-D55)*(200000*(H55/100))/360)*0.02577</f>
        <v>100.64043999999998</v>
      </c>
      <c r="AF55" s="152">
        <f t="shared" ca="1" si="12"/>
        <v>5254.6404400000001</v>
      </c>
      <c r="AG55" s="153">
        <f t="shared" ca="1" si="13"/>
        <v>19297.667015899999</v>
      </c>
    </row>
    <row r="56" spans="1:33" ht="72.5" x14ac:dyDescent="0.35">
      <c r="A56" s="38" t="s">
        <v>188</v>
      </c>
      <c r="B56" s="46" t="s">
        <v>187</v>
      </c>
      <c r="C56" s="22" t="s">
        <v>189</v>
      </c>
      <c r="D56" s="75">
        <f t="shared" si="3"/>
        <v>45946</v>
      </c>
      <c r="E56" s="75" t="s">
        <v>599</v>
      </c>
      <c r="F56" s="74">
        <f t="shared" si="4"/>
        <v>46311</v>
      </c>
      <c r="G56" s="228"/>
      <c r="H56" s="19">
        <v>4.5</v>
      </c>
      <c r="I56" s="71" t="s">
        <v>19</v>
      </c>
      <c r="J56" s="2" t="s">
        <v>54</v>
      </c>
      <c r="K56" s="2" t="s">
        <v>758</v>
      </c>
      <c r="L56" s="64" t="s">
        <v>38</v>
      </c>
      <c r="M56" s="67">
        <v>0.49</v>
      </c>
      <c r="N56" s="67"/>
      <c r="O56" s="87" t="s">
        <v>946</v>
      </c>
      <c r="P56" s="137" t="s">
        <v>947</v>
      </c>
      <c r="Q56" s="46" t="s">
        <v>187</v>
      </c>
      <c r="R56" t="b">
        <f t="shared" si="16"/>
        <v>1</v>
      </c>
      <c r="S56" t="b">
        <f t="shared" si="5"/>
        <v>1</v>
      </c>
      <c r="T56" t="b">
        <f t="shared" si="6"/>
        <v>1</v>
      </c>
      <c r="U56" s="46" t="s">
        <v>187</v>
      </c>
      <c r="V56" s="225" t="str">
        <f t="shared" si="7"/>
        <v>DUBAEE 4 ½ 10/16/30 REGS</v>
      </c>
      <c r="W56" s="67">
        <f t="shared" si="14"/>
        <v>1.225E-2</v>
      </c>
      <c r="X56" s="151">
        <f t="shared" si="8"/>
        <v>2450</v>
      </c>
      <c r="Y56" s="152">
        <f ca="1">((Main!$C$4-D56)*(200000*(H56/100))/360)*0.025</f>
        <v>78.125</v>
      </c>
      <c r="Z56" s="152">
        <f t="shared" ca="1" si="9"/>
        <v>2528.125</v>
      </c>
      <c r="AA56" s="153">
        <f t="shared" ca="1" si="10"/>
        <v>9284.5390625</v>
      </c>
      <c r="AC56" s="67">
        <f t="shared" si="15"/>
        <v>1.2627300000000001E-2</v>
      </c>
      <c r="AD56" s="151">
        <f t="shared" si="11"/>
        <v>2525.46</v>
      </c>
      <c r="AE56">
        <f ca="1">((Main!$C$4-D56)*(200000*(H56/100))/360)*0.02577</f>
        <v>80.53125</v>
      </c>
      <c r="AF56" s="152">
        <f t="shared" ca="1" si="12"/>
        <v>2605.99125</v>
      </c>
      <c r="AG56" s="153">
        <f t="shared" ca="1" si="13"/>
        <v>9570.5028656249997</v>
      </c>
    </row>
    <row r="57" spans="1:33" ht="12.75" customHeight="1" x14ac:dyDescent="0.35">
      <c r="A57" s="38" t="s">
        <v>158</v>
      </c>
      <c r="B57" s="46" t="s">
        <v>702</v>
      </c>
      <c r="C57" s="22" t="s">
        <v>159</v>
      </c>
      <c r="D57" s="75">
        <f t="shared" si="3"/>
        <v>45885</v>
      </c>
      <c r="E57" s="75" t="s">
        <v>600</v>
      </c>
      <c r="F57" s="74">
        <f t="shared" si="4"/>
        <v>46250</v>
      </c>
      <c r="G57" s="228"/>
      <c r="H57" s="19">
        <v>4.8</v>
      </c>
      <c r="I57" s="71" t="s">
        <v>19</v>
      </c>
      <c r="J57" s="158" t="s">
        <v>6</v>
      </c>
      <c r="K57" s="162" t="s">
        <v>732</v>
      </c>
      <c r="L57" s="157" t="s">
        <v>64</v>
      </c>
      <c r="M57" s="67">
        <v>0.66669999999999996</v>
      </c>
      <c r="N57" s="67"/>
      <c r="O57" s="161" t="s">
        <v>949</v>
      </c>
      <c r="P57" s="174" t="s">
        <v>962</v>
      </c>
      <c r="Q57" s="46" t="s">
        <v>990</v>
      </c>
      <c r="R57" t="b">
        <f t="shared" si="16"/>
        <v>0</v>
      </c>
      <c r="S57" t="b">
        <f t="shared" si="5"/>
        <v>1</v>
      </c>
      <c r="T57" t="b">
        <f t="shared" si="6"/>
        <v>1</v>
      </c>
      <c r="U57" s="46" t="s">
        <v>702</v>
      </c>
      <c r="V57" s="225" t="str">
        <f t="shared" si="7"/>
        <v>DIB SUK LTD 4.8 - 08/2028</v>
      </c>
      <c r="W57" s="67">
        <f t="shared" si="14"/>
        <v>1.6667499999999998E-2</v>
      </c>
      <c r="X57" s="151">
        <f t="shared" si="8"/>
        <v>3333.4999999999995</v>
      </c>
      <c r="Y57" s="152">
        <f ca="1">((Main!$C$4-D57)*(200000*(H57/100))/360)*0.025</f>
        <v>124</v>
      </c>
      <c r="Z57" s="152">
        <f t="shared" ca="1" si="9"/>
        <v>3457.4999999999995</v>
      </c>
      <c r="AA57" s="153">
        <f t="shared" ca="1" si="10"/>
        <v>12697.668749999997</v>
      </c>
      <c r="AC57" s="67">
        <f t="shared" si="15"/>
        <v>1.7180859E-2</v>
      </c>
      <c r="AD57" s="151">
        <f t="shared" si="11"/>
        <v>3436.1718000000001</v>
      </c>
      <c r="AE57">
        <f ca="1">((Main!$C$4-D57)*(200000*(H57/100))/360)*0.02577</f>
        <v>127.81920000000001</v>
      </c>
      <c r="AF57" s="152">
        <f t="shared" ca="1" si="12"/>
        <v>3563.991</v>
      </c>
      <c r="AG57" s="153">
        <f t="shared" ca="1" si="13"/>
        <v>13088.7569475</v>
      </c>
    </row>
    <row r="58" spans="1:33" ht="12.75" customHeight="1" x14ac:dyDescent="0.35">
      <c r="A58" s="38" t="s">
        <v>160</v>
      </c>
      <c r="B58" s="46" t="s">
        <v>703</v>
      </c>
      <c r="C58" s="22" t="s">
        <v>161</v>
      </c>
      <c r="D58" s="75">
        <f t="shared" si="3"/>
        <v>46013</v>
      </c>
      <c r="E58" s="75" t="s">
        <v>601</v>
      </c>
      <c r="F58" s="74">
        <f t="shared" si="4"/>
        <v>46378</v>
      </c>
      <c r="G58" s="228"/>
      <c r="H58" s="19">
        <v>1.9590000000000001</v>
      </c>
      <c r="I58" s="71" t="s">
        <v>19</v>
      </c>
      <c r="J58" s="158" t="s">
        <v>6</v>
      </c>
      <c r="K58" s="162" t="s">
        <v>732</v>
      </c>
      <c r="L58" s="158" t="s">
        <v>64</v>
      </c>
      <c r="M58" s="67">
        <v>0.66669999999999996</v>
      </c>
      <c r="N58" s="67"/>
      <c r="O58" s="161" t="s">
        <v>949</v>
      </c>
      <c r="P58" s="174" t="s">
        <v>962</v>
      </c>
      <c r="Q58" s="46" t="s">
        <v>990</v>
      </c>
      <c r="R58" t="b">
        <f t="shared" si="16"/>
        <v>0</v>
      </c>
      <c r="S58" t="b">
        <f t="shared" si="5"/>
        <v>1</v>
      </c>
      <c r="T58" t="b">
        <f t="shared" si="6"/>
        <v>1</v>
      </c>
      <c r="U58" s="46" t="s">
        <v>703</v>
      </c>
      <c r="V58" s="225" t="str">
        <f t="shared" si="7"/>
        <v>DIBUH 1.959 06/22/26 EMTN</v>
      </c>
      <c r="W58" s="67">
        <f t="shared" si="14"/>
        <v>1.6667499999999998E-2</v>
      </c>
      <c r="X58" s="151">
        <f t="shared" si="8"/>
        <v>3333.4999999999995</v>
      </c>
      <c r="Y58" s="152">
        <f ca="1">((Main!$C$4-D58)*(200000*(H58/100))/360)*0.025</f>
        <v>15.780833333333334</v>
      </c>
      <c r="Z58" s="152">
        <f t="shared" ca="1" si="9"/>
        <v>3349.2808333333328</v>
      </c>
      <c r="AA58" s="153">
        <f t="shared" ca="1" si="10"/>
        <v>12300.233860416663</v>
      </c>
      <c r="AC58" s="67">
        <f t="shared" si="15"/>
        <v>1.7180859E-2</v>
      </c>
      <c r="AD58" s="151">
        <f t="shared" si="11"/>
        <v>3436.1718000000001</v>
      </c>
      <c r="AE58">
        <f ca="1">((Main!$C$4-D58)*(200000*(H58/100))/360)*0.02577</f>
        <v>16.266883</v>
      </c>
      <c r="AF58" s="152">
        <f t="shared" ca="1" si="12"/>
        <v>3452.4386829999999</v>
      </c>
      <c r="AG58" s="153">
        <f t="shared" ca="1" si="13"/>
        <v>12679.081063317499</v>
      </c>
    </row>
    <row r="59" spans="1:33" ht="12.75" customHeight="1" x14ac:dyDescent="0.35">
      <c r="A59" s="38" t="s">
        <v>162</v>
      </c>
      <c r="B59" s="46" t="s">
        <v>704</v>
      </c>
      <c r="C59" s="22" t="s">
        <v>163</v>
      </c>
      <c r="D59" s="75">
        <f t="shared" si="3"/>
        <v>45885</v>
      </c>
      <c r="E59" s="75" t="s">
        <v>600</v>
      </c>
      <c r="F59" s="74">
        <f t="shared" si="4"/>
        <v>46250</v>
      </c>
      <c r="G59" s="228"/>
      <c r="H59" s="19">
        <v>2.74</v>
      </c>
      <c r="I59" s="71" t="s">
        <v>19</v>
      </c>
      <c r="J59" s="158" t="s">
        <v>6</v>
      </c>
      <c r="K59" s="162" t="s">
        <v>732</v>
      </c>
      <c r="L59" s="158" t="s">
        <v>64</v>
      </c>
      <c r="M59" s="67">
        <v>0.66669999999999996</v>
      </c>
      <c r="N59" s="67"/>
      <c r="O59" s="161" t="s">
        <v>949</v>
      </c>
      <c r="P59" s="174" t="s">
        <v>962</v>
      </c>
      <c r="Q59" s="46" t="s">
        <v>990</v>
      </c>
      <c r="R59" t="b">
        <f t="shared" si="16"/>
        <v>0</v>
      </c>
      <c r="S59" t="b">
        <f t="shared" si="5"/>
        <v>1</v>
      </c>
      <c r="T59" t="b">
        <f t="shared" si="6"/>
        <v>1</v>
      </c>
      <c r="U59" s="46" t="s">
        <v>704</v>
      </c>
      <c r="V59" s="225" t="str">
        <f t="shared" si="7"/>
        <v>DIBUH 2.74 02/16/27</v>
      </c>
      <c r="W59" s="67">
        <f t="shared" si="14"/>
        <v>1.6667499999999998E-2</v>
      </c>
      <c r="X59" s="151">
        <f t="shared" si="8"/>
        <v>3333.4999999999995</v>
      </c>
      <c r="Y59" s="152">
        <f ca="1">((Main!$C$4-D59)*(200000*(H59/100))/360)*0.025</f>
        <v>70.783333333333346</v>
      </c>
      <c r="Z59" s="152">
        <f t="shared" ca="1" si="9"/>
        <v>3404.2833333333328</v>
      </c>
      <c r="AA59" s="153">
        <f t="shared" ca="1" si="10"/>
        <v>12502.230541666664</v>
      </c>
      <c r="AC59" s="67">
        <f t="shared" si="15"/>
        <v>1.7180859E-2</v>
      </c>
      <c r="AD59" s="151">
        <f t="shared" si="11"/>
        <v>3436.1718000000001</v>
      </c>
      <c r="AE59">
        <f ca="1">((Main!$C$4-D59)*(200000*(H59/100))/360)*0.02577</f>
        <v>72.963460000000012</v>
      </c>
      <c r="AF59" s="152">
        <f t="shared" ca="1" si="12"/>
        <v>3509.13526</v>
      </c>
      <c r="AG59" s="153">
        <f t="shared" ca="1" si="13"/>
        <v>12887.29924235</v>
      </c>
    </row>
    <row r="60" spans="1:33" ht="12.75" customHeight="1" x14ac:dyDescent="0.35">
      <c r="A60" s="38" t="s">
        <v>164</v>
      </c>
      <c r="B60" s="46" t="s">
        <v>705</v>
      </c>
      <c r="C60" s="22" t="s">
        <v>165</v>
      </c>
      <c r="D60" s="75">
        <f t="shared" si="3"/>
        <v>45949</v>
      </c>
      <c r="E60" s="75" t="s">
        <v>602</v>
      </c>
      <c r="F60" s="74">
        <f t="shared" si="4"/>
        <v>46314</v>
      </c>
      <c r="G60" s="228"/>
      <c r="H60" s="19">
        <v>3.375</v>
      </c>
      <c r="I60" s="71" t="s">
        <v>19</v>
      </c>
      <c r="J60" s="2" t="s">
        <v>11</v>
      </c>
      <c r="K60" s="2" t="s">
        <v>751</v>
      </c>
      <c r="L60" s="2" t="s">
        <v>12</v>
      </c>
      <c r="M60" s="67">
        <v>1</v>
      </c>
      <c r="N60" s="67"/>
      <c r="O60" s="87" t="s">
        <v>937</v>
      </c>
      <c r="P60" s="141" t="s">
        <v>936</v>
      </c>
      <c r="Q60" s="46" t="s">
        <v>990</v>
      </c>
      <c r="R60" t="b">
        <f t="shared" si="16"/>
        <v>0</v>
      </c>
      <c r="S60" t="b">
        <f t="shared" si="5"/>
        <v>1</v>
      </c>
      <c r="T60" t="b">
        <f t="shared" si="6"/>
        <v>1</v>
      </c>
      <c r="U60" s="46" t="s">
        <v>705</v>
      </c>
      <c r="V60" s="225" t="str">
        <f t="shared" si="7"/>
        <v>DIBUH 3.375 PERP Corp</v>
      </c>
      <c r="W60" s="67">
        <f t="shared" si="14"/>
        <v>2.5000000000000001E-2</v>
      </c>
      <c r="X60" s="151">
        <f t="shared" si="8"/>
        <v>5000</v>
      </c>
      <c r="Y60" s="152">
        <f ca="1">((Main!$C$4-D60)*(200000*(H60/100))/360)*0.025</f>
        <v>57.1875</v>
      </c>
      <c r="Z60" s="152">
        <f t="shared" ca="1" si="9"/>
        <v>5057.1875</v>
      </c>
      <c r="AA60" s="153">
        <f t="shared" ca="1" si="10"/>
        <v>18572.521093749998</v>
      </c>
      <c r="AC60" s="67">
        <f t="shared" si="15"/>
        <v>2.5770000000000001E-2</v>
      </c>
      <c r="AD60" s="151">
        <f t="shared" si="11"/>
        <v>5154</v>
      </c>
      <c r="AE60">
        <f ca="1">((Main!$C$4-D60)*(200000*(H60/100))/360)*0.02577</f>
        <v>58.948875000000001</v>
      </c>
      <c r="AF60" s="152">
        <f t="shared" ca="1" si="12"/>
        <v>5212.948875</v>
      </c>
      <c r="AG60" s="153">
        <f t="shared" ca="1" si="13"/>
        <v>19144.5547434375</v>
      </c>
    </row>
    <row r="61" spans="1:33" ht="12.75" customHeight="1" x14ac:dyDescent="0.35">
      <c r="A61" s="38" t="s">
        <v>166</v>
      </c>
      <c r="B61" s="46" t="s">
        <v>706</v>
      </c>
      <c r="C61" s="22" t="s">
        <v>167</v>
      </c>
      <c r="D61" s="75">
        <f t="shared" si="3"/>
        <v>45980</v>
      </c>
      <c r="E61" s="75" t="s">
        <v>575</v>
      </c>
      <c r="F61" s="74">
        <f t="shared" si="4"/>
        <v>46345</v>
      </c>
      <c r="G61" s="228"/>
      <c r="H61" s="19">
        <v>4.5720000000000001</v>
      </c>
      <c r="I61" s="71" t="s">
        <v>19</v>
      </c>
      <c r="J61" s="158" t="s">
        <v>6</v>
      </c>
      <c r="K61" s="162" t="s">
        <v>732</v>
      </c>
      <c r="L61" s="158" t="s">
        <v>64</v>
      </c>
      <c r="M61" s="67">
        <v>0.66669999999999996</v>
      </c>
      <c r="N61" s="67"/>
      <c r="O61" s="161" t="s">
        <v>949</v>
      </c>
      <c r="P61" s="174" t="s">
        <v>962</v>
      </c>
      <c r="Q61" s="46" t="s">
        <v>990</v>
      </c>
      <c r="R61" t="b">
        <f t="shared" si="16"/>
        <v>0</v>
      </c>
      <c r="S61" t="b">
        <f t="shared" si="5"/>
        <v>1</v>
      </c>
      <c r="T61" t="b">
        <f t="shared" si="6"/>
        <v>1</v>
      </c>
      <c r="U61" s="46" t="s">
        <v>706</v>
      </c>
      <c r="V61" s="225" t="str">
        <f t="shared" si="7"/>
        <v>DIBUH 4.572 19/11/30</v>
      </c>
      <c r="W61" s="67">
        <f t="shared" si="14"/>
        <v>1.6667499999999998E-2</v>
      </c>
      <c r="X61" s="151">
        <f t="shared" si="8"/>
        <v>3333.4999999999995</v>
      </c>
      <c r="Y61" s="152">
        <f ca="1">((Main!$C$4-D61)*(200000*(H61/100))/360)*0.025</f>
        <v>57.785000000000004</v>
      </c>
      <c r="Z61" s="152">
        <f t="shared" ca="1" si="9"/>
        <v>3391.2849999999994</v>
      </c>
      <c r="AA61" s="153">
        <f t="shared" ca="1" si="10"/>
        <v>12454.494162499997</v>
      </c>
      <c r="AC61" s="67">
        <f t="shared" si="15"/>
        <v>1.7180859E-2</v>
      </c>
      <c r="AD61" s="151">
        <f t="shared" si="11"/>
        <v>3436.1718000000001</v>
      </c>
      <c r="AE61">
        <f ca="1">((Main!$C$4-D61)*(200000*(H61/100))/360)*0.02577</f>
        <v>59.564778000000004</v>
      </c>
      <c r="AF61" s="152">
        <f t="shared" ca="1" si="12"/>
        <v>3495.736578</v>
      </c>
      <c r="AG61" s="153">
        <f t="shared" ca="1" si="13"/>
        <v>12838.092582705</v>
      </c>
    </row>
    <row r="62" spans="1:33" ht="12.75" customHeight="1" x14ac:dyDescent="0.35">
      <c r="A62" s="38" t="s">
        <v>170</v>
      </c>
      <c r="B62" s="46" t="s">
        <v>707</v>
      </c>
      <c r="C62" s="22" t="s">
        <v>171</v>
      </c>
      <c r="D62" s="75">
        <f t="shared" si="3"/>
        <v>45904</v>
      </c>
      <c r="E62" s="75" t="s">
        <v>603</v>
      </c>
      <c r="F62" s="74">
        <f t="shared" si="4"/>
        <v>46269</v>
      </c>
      <c r="G62" s="228"/>
      <c r="H62" s="19">
        <v>5.2430000000000003</v>
      </c>
      <c r="I62" s="71" t="s">
        <v>19</v>
      </c>
      <c r="J62" s="158" t="s">
        <v>6</v>
      </c>
      <c r="K62" s="158" t="s">
        <v>732</v>
      </c>
      <c r="L62" s="158" t="s">
        <v>64</v>
      </c>
      <c r="M62" s="67">
        <v>0.66669999999999996</v>
      </c>
      <c r="N62" s="67"/>
      <c r="O62" s="161" t="s">
        <v>949</v>
      </c>
      <c r="P62" s="174" t="s">
        <v>962</v>
      </c>
      <c r="Q62" s="46" t="s">
        <v>990</v>
      </c>
      <c r="R62" t="b">
        <f t="shared" si="16"/>
        <v>0</v>
      </c>
      <c r="S62" t="b">
        <f t="shared" si="5"/>
        <v>1</v>
      </c>
      <c r="T62" t="b">
        <f t="shared" si="6"/>
        <v>1</v>
      </c>
      <c r="U62" s="46" t="s">
        <v>707</v>
      </c>
      <c r="V62" s="225" t="str">
        <f t="shared" si="7"/>
        <v>DIBUH 5.243 04/03/2029</v>
      </c>
      <c r="W62" s="67">
        <f t="shared" si="14"/>
        <v>1.6667499999999998E-2</v>
      </c>
      <c r="X62" s="151">
        <f t="shared" si="8"/>
        <v>3333.4999999999995</v>
      </c>
      <c r="Y62" s="152">
        <f ca="1">((Main!$C$4-D62)*(200000*(H62/100))/360)*0.025</f>
        <v>121.60847222222222</v>
      </c>
      <c r="Z62" s="152">
        <f t="shared" ca="1" si="9"/>
        <v>3455.1084722222217</v>
      </c>
      <c r="AA62" s="153">
        <f t="shared" ca="1" si="10"/>
        <v>12688.885864236108</v>
      </c>
      <c r="AC62" s="67">
        <f t="shared" si="15"/>
        <v>1.7180859E-2</v>
      </c>
      <c r="AD62" s="151">
        <f t="shared" si="11"/>
        <v>3436.1718000000001</v>
      </c>
      <c r="AE62">
        <f ca="1">((Main!$C$4-D62)*(200000*(H62/100))/360)*0.02577</f>
        <v>125.35401316666666</v>
      </c>
      <c r="AF62" s="152">
        <f t="shared" ca="1" si="12"/>
        <v>3561.5258131666669</v>
      </c>
      <c r="AG62" s="153">
        <f t="shared" ca="1" si="13"/>
        <v>13079.703548854584</v>
      </c>
    </row>
    <row r="63" spans="1:33" ht="12.75" customHeight="1" x14ac:dyDescent="0.35">
      <c r="A63" s="38" t="s">
        <v>168</v>
      </c>
      <c r="B63" s="46" t="s">
        <v>707</v>
      </c>
      <c r="C63" s="22" t="s">
        <v>169</v>
      </c>
      <c r="D63" s="75">
        <f t="shared" si="3"/>
        <v>45980</v>
      </c>
      <c r="E63" s="75" t="s">
        <v>575</v>
      </c>
      <c r="F63" s="74">
        <f t="shared" si="4"/>
        <v>46345</v>
      </c>
      <c r="G63" s="228"/>
      <c r="H63" s="19">
        <v>4.625</v>
      </c>
      <c r="I63" s="71" t="s">
        <v>19</v>
      </c>
      <c r="J63" s="2" t="s">
        <v>11</v>
      </c>
      <c r="K63" s="20" t="s">
        <v>751</v>
      </c>
      <c r="L63" s="2" t="s">
        <v>12</v>
      </c>
      <c r="M63" s="67">
        <v>1</v>
      </c>
      <c r="N63" s="67"/>
      <c r="O63" s="87" t="s">
        <v>937</v>
      </c>
      <c r="P63" s="141" t="s">
        <v>936</v>
      </c>
      <c r="Q63" s="46" t="s">
        <v>990</v>
      </c>
      <c r="R63" t="b">
        <f t="shared" si="16"/>
        <v>0</v>
      </c>
      <c r="S63" t="b">
        <f t="shared" si="5"/>
        <v>1</v>
      </c>
      <c r="T63" t="b">
        <f t="shared" si="6"/>
        <v>1</v>
      </c>
      <c r="U63" s="46" t="s">
        <v>707</v>
      </c>
      <c r="V63" s="225" t="str">
        <f t="shared" si="7"/>
        <v>DIBUH 4.625 PERP Corp</v>
      </c>
      <c r="W63" s="67">
        <f t="shared" si="14"/>
        <v>2.5000000000000001E-2</v>
      </c>
      <c r="X63" s="151">
        <f t="shared" si="8"/>
        <v>5000</v>
      </c>
      <c r="Y63" s="152">
        <f ca="1">((Main!$C$4-D63)*(200000*(H63/100))/360)*0.025</f>
        <v>58.454861111111114</v>
      </c>
      <c r="Z63" s="152">
        <f t="shared" ca="1" si="9"/>
        <v>5058.4548611111113</v>
      </c>
      <c r="AA63" s="153">
        <f t="shared" ca="1" si="10"/>
        <v>18577.175477430555</v>
      </c>
      <c r="AC63" s="67">
        <f t="shared" si="15"/>
        <v>2.5770000000000001E-2</v>
      </c>
      <c r="AD63" s="151">
        <f t="shared" si="11"/>
        <v>5154</v>
      </c>
      <c r="AE63">
        <f ca="1">((Main!$C$4-D63)*(200000*(H63/100))/360)*0.02577</f>
        <v>60.255270833333334</v>
      </c>
      <c r="AF63" s="152">
        <f t="shared" ca="1" si="12"/>
        <v>5214.2552708333333</v>
      </c>
      <c r="AG63" s="153">
        <f t="shared" ca="1" si="13"/>
        <v>19149.352482135415</v>
      </c>
    </row>
    <row r="64" spans="1:33" ht="12.75" customHeight="1" x14ac:dyDescent="0.35">
      <c r="A64" s="38" t="s">
        <v>172</v>
      </c>
      <c r="B64" s="46" t="s">
        <v>708</v>
      </c>
      <c r="C64" s="22" t="s">
        <v>173</v>
      </c>
      <c r="D64" s="75">
        <f t="shared" si="3"/>
        <v>45946</v>
      </c>
      <c r="E64" s="75" t="s">
        <v>599</v>
      </c>
      <c r="F64" s="74">
        <f t="shared" si="4"/>
        <v>46311</v>
      </c>
      <c r="G64" s="228"/>
      <c r="H64" s="19">
        <v>5.25</v>
      </c>
      <c r="I64" s="71" t="s">
        <v>19</v>
      </c>
      <c r="J64" s="2" t="s">
        <v>11</v>
      </c>
      <c r="K64" s="2" t="s">
        <v>751</v>
      </c>
      <c r="L64" s="2" t="s">
        <v>12</v>
      </c>
      <c r="M64" s="67">
        <v>1</v>
      </c>
      <c r="N64" s="67"/>
      <c r="O64" s="87" t="s">
        <v>937</v>
      </c>
      <c r="P64" s="141" t="s">
        <v>936</v>
      </c>
      <c r="Q64" s="46" t="s">
        <v>990</v>
      </c>
      <c r="R64" t="b">
        <f t="shared" si="16"/>
        <v>0</v>
      </c>
      <c r="S64" t="b">
        <f t="shared" si="5"/>
        <v>1</v>
      </c>
      <c r="T64" t="b">
        <f t="shared" si="6"/>
        <v>1</v>
      </c>
      <c r="U64" s="46" t="s">
        <v>708</v>
      </c>
      <c r="V64" s="225" t="str">
        <f t="shared" si="7"/>
        <v>DIBUH 5.25 PERP CORP</v>
      </c>
      <c r="W64" s="67">
        <f t="shared" si="14"/>
        <v>2.5000000000000001E-2</v>
      </c>
      <c r="X64" s="151">
        <f t="shared" si="8"/>
        <v>5000</v>
      </c>
      <c r="Y64" s="152">
        <f ca="1">((Main!$C$4-D64)*(200000*(H64/100))/360)*0.025</f>
        <v>91.145833333333343</v>
      </c>
      <c r="Z64" s="152">
        <f t="shared" ca="1" si="9"/>
        <v>5091.145833333333</v>
      </c>
      <c r="AA64" s="153">
        <f t="shared" ca="1" si="10"/>
        <v>18697.233072916664</v>
      </c>
      <c r="AC64" s="67">
        <f t="shared" si="15"/>
        <v>2.5770000000000001E-2</v>
      </c>
      <c r="AD64" s="151">
        <f t="shared" si="11"/>
        <v>5154</v>
      </c>
      <c r="AE64">
        <f ca="1">((Main!$C$4-D64)*(200000*(H64/100))/360)*0.02577</f>
        <v>93.953125000000014</v>
      </c>
      <c r="AF64" s="152">
        <f t="shared" ca="1" si="12"/>
        <v>5247.953125</v>
      </c>
      <c r="AG64" s="153">
        <f t="shared" ca="1" si="13"/>
        <v>19273.107851562498</v>
      </c>
    </row>
    <row r="65" spans="1:33" ht="12.75" customHeight="1" x14ac:dyDescent="0.35">
      <c r="A65" s="38" t="s">
        <v>174</v>
      </c>
      <c r="B65" s="46" t="s">
        <v>709</v>
      </c>
      <c r="C65" s="22" t="s">
        <v>175</v>
      </c>
      <c r="D65" s="75">
        <f t="shared" si="3"/>
        <v>45991</v>
      </c>
      <c r="E65" s="75" t="s">
        <v>604</v>
      </c>
      <c r="F65" s="74">
        <f t="shared" si="4"/>
        <v>46356</v>
      </c>
      <c r="G65" s="228"/>
      <c r="H65" s="19">
        <v>5.4930000000000003</v>
      </c>
      <c r="I65" s="71" t="s">
        <v>19</v>
      </c>
      <c r="J65" s="158" t="s">
        <v>6</v>
      </c>
      <c r="K65" s="162" t="s">
        <v>732</v>
      </c>
      <c r="L65" s="158" t="s">
        <v>64</v>
      </c>
      <c r="M65" s="67">
        <v>0.66669999999999996</v>
      </c>
      <c r="N65" s="67"/>
      <c r="O65" s="161" t="s">
        <v>949</v>
      </c>
      <c r="P65" s="174" t="s">
        <v>962</v>
      </c>
      <c r="Q65" s="46" t="s">
        <v>990</v>
      </c>
      <c r="R65" t="b">
        <f t="shared" si="16"/>
        <v>0</v>
      </c>
      <c r="S65" t="b">
        <f t="shared" si="5"/>
        <v>1</v>
      </c>
      <c r="T65" t="b">
        <f t="shared" si="6"/>
        <v>1</v>
      </c>
      <c r="U65" s="46" t="s">
        <v>709</v>
      </c>
      <c r="V65" s="225" t="str">
        <f t="shared" si="7"/>
        <v>DIBUH 5.493 30/11/2027</v>
      </c>
      <c r="W65" s="67">
        <f t="shared" si="14"/>
        <v>1.6667499999999998E-2</v>
      </c>
      <c r="X65" s="151">
        <f t="shared" si="8"/>
        <v>3333.4999999999995</v>
      </c>
      <c r="Y65" s="152">
        <f ca="1">((Main!$C$4-D65)*(200000*(H65/100))/360)*0.025</f>
        <v>61.033333333333339</v>
      </c>
      <c r="Z65" s="152">
        <f t="shared" ca="1" si="9"/>
        <v>3394.5333333333328</v>
      </c>
      <c r="AA65" s="153">
        <f t="shared" ca="1" si="10"/>
        <v>12466.423666666664</v>
      </c>
      <c r="AC65" s="67">
        <f t="shared" si="15"/>
        <v>1.7180859E-2</v>
      </c>
      <c r="AD65" s="151">
        <f t="shared" si="11"/>
        <v>3436.1718000000001</v>
      </c>
      <c r="AE65">
        <f ca="1">((Main!$C$4-D65)*(200000*(H65/100))/360)*0.02577</f>
        <v>62.913160000000005</v>
      </c>
      <c r="AF65" s="152">
        <f t="shared" ca="1" si="12"/>
        <v>3499.0849600000001</v>
      </c>
      <c r="AG65" s="153">
        <f t="shared" ca="1" si="13"/>
        <v>12850.3895156</v>
      </c>
    </row>
    <row r="66" spans="1:33" ht="12.75" customHeight="1" x14ac:dyDescent="0.35">
      <c r="A66" s="38" t="s">
        <v>196</v>
      </c>
      <c r="B66" s="46" t="s">
        <v>763</v>
      </c>
      <c r="C66" s="22" t="s">
        <v>197</v>
      </c>
      <c r="D66" s="75">
        <f t="shared" si="3"/>
        <v>45939</v>
      </c>
      <c r="E66" s="75" t="s">
        <v>570</v>
      </c>
      <c r="F66" s="74">
        <f t="shared" si="4"/>
        <v>46304</v>
      </c>
      <c r="G66" s="228"/>
      <c r="H66" s="19">
        <v>4.5599999999999996</v>
      </c>
      <c r="I66" s="71" t="s">
        <v>19</v>
      </c>
      <c r="J66" s="2" t="s">
        <v>54</v>
      </c>
      <c r="K66" s="2" t="s">
        <v>759</v>
      </c>
      <c r="L66" s="2" t="s">
        <v>64</v>
      </c>
      <c r="M66" s="67">
        <v>0.45</v>
      </c>
      <c r="N66" s="67"/>
      <c r="O66" s="87" t="s">
        <v>946</v>
      </c>
      <c r="P66" s="137" t="s">
        <v>947</v>
      </c>
      <c r="Q66" s="46" t="s">
        <v>991</v>
      </c>
      <c r="R66" t="b">
        <f t="shared" si="16"/>
        <v>0</v>
      </c>
      <c r="S66" t="b">
        <f t="shared" si="5"/>
        <v>1</v>
      </c>
      <c r="T66" t="b">
        <f t="shared" si="6"/>
        <v>1</v>
      </c>
      <c r="U66" s="46" t="s">
        <v>763</v>
      </c>
      <c r="V66" s="225" t="str">
        <f t="shared" si="7"/>
        <v>DUKHAN 4.56 09/10/2029</v>
      </c>
      <c r="W66" s="67">
        <f t="shared" si="14"/>
        <v>1.1250000000000001E-2</v>
      </c>
      <c r="X66" s="151">
        <f t="shared" si="8"/>
        <v>2250.0000000000005</v>
      </c>
      <c r="Y66" s="152">
        <f ca="1">((Main!$C$4-D66)*(200000*(H66/100))/360)*0.025</f>
        <v>83.6</v>
      </c>
      <c r="Z66" s="152">
        <f t="shared" ca="1" si="9"/>
        <v>2333.6000000000004</v>
      </c>
      <c r="AA66" s="153">
        <f t="shared" ca="1" si="10"/>
        <v>8570.1460000000006</v>
      </c>
      <c r="AC66" s="67">
        <f t="shared" si="15"/>
        <v>1.1596500000000001E-2</v>
      </c>
      <c r="AD66" s="151">
        <f t="shared" si="11"/>
        <v>2319.3000000000002</v>
      </c>
      <c r="AE66">
        <f ca="1">((Main!$C$4-D66)*(200000*(H66/100))/360)*0.02577</f>
        <v>86.174879999999987</v>
      </c>
      <c r="AF66" s="152">
        <f t="shared" ca="1" si="12"/>
        <v>2405.4748800000002</v>
      </c>
      <c r="AG66" s="153">
        <f t="shared" ca="1" si="13"/>
        <v>8834.106496800001</v>
      </c>
    </row>
    <row r="67" spans="1:33" ht="12.75" customHeight="1" x14ac:dyDescent="0.35">
      <c r="A67" s="38" t="s">
        <v>194</v>
      </c>
      <c r="B67" s="46" t="s">
        <v>764</v>
      </c>
      <c r="C67" s="22" t="s">
        <v>195</v>
      </c>
      <c r="D67" s="75">
        <f t="shared" ref="D67:D130" si="17">EDATE(E67,-6)</f>
        <v>46036</v>
      </c>
      <c r="E67" s="75" t="s">
        <v>605</v>
      </c>
      <c r="F67" s="74">
        <f t="shared" ref="F67:F130" si="18">EDATE(E67,6)</f>
        <v>46401</v>
      </c>
      <c r="G67" s="228"/>
      <c r="H67" s="19">
        <v>3.95</v>
      </c>
      <c r="I67" s="71" t="s">
        <v>19</v>
      </c>
      <c r="J67" s="2" t="s">
        <v>11</v>
      </c>
      <c r="K67" s="2" t="s">
        <v>751</v>
      </c>
      <c r="L67" s="2" t="s">
        <v>12</v>
      </c>
      <c r="M67" s="67">
        <v>1</v>
      </c>
      <c r="N67" s="67"/>
      <c r="O67" s="87" t="s">
        <v>937</v>
      </c>
      <c r="P67" s="141" t="s">
        <v>936</v>
      </c>
      <c r="Q67" s="46" t="s">
        <v>991</v>
      </c>
      <c r="R67" t="b">
        <f t="shared" si="16"/>
        <v>0</v>
      </c>
      <c r="S67" t="b">
        <f t="shared" si="5"/>
        <v>1</v>
      </c>
      <c r="T67" t="b">
        <f t="shared" si="6"/>
        <v>1</v>
      </c>
      <c r="U67" s="46" t="s">
        <v>764</v>
      </c>
      <c r="V67" s="225" t="str">
        <f t="shared" si="7"/>
        <v>DUKHAN 3.95 PERP Corp</v>
      </c>
      <c r="W67" s="67">
        <f t="shared" si="14"/>
        <v>2.5000000000000001E-2</v>
      </c>
      <c r="X67" s="151">
        <f t="shared" si="8"/>
        <v>5000</v>
      </c>
      <c r="Y67" s="152">
        <f ca="1">((Main!$C$4-D67)*(200000*(H67/100))/360)*0.025</f>
        <v>19.201388888888889</v>
      </c>
      <c r="Z67" s="152">
        <f t="shared" ca="1" si="9"/>
        <v>5019.2013888888887</v>
      </c>
      <c r="AA67" s="153">
        <f t="shared" ca="1" si="10"/>
        <v>18433.017100694444</v>
      </c>
      <c r="AC67" s="67">
        <f t="shared" si="15"/>
        <v>2.5770000000000001E-2</v>
      </c>
      <c r="AD67" s="151">
        <f t="shared" si="11"/>
        <v>5154</v>
      </c>
      <c r="AE67">
        <f ca="1">((Main!$C$4-D67)*(200000*(H67/100))/360)*0.02577</f>
        <v>19.792791666666666</v>
      </c>
      <c r="AF67" s="152">
        <f t="shared" ca="1" si="12"/>
        <v>5173.7927916666667</v>
      </c>
      <c r="AG67" s="153">
        <f t="shared" ca="1" si="13"/>
        <v>19000.754027395833</v>
      </c>
    </row>
    <row r="68" spans="1:33" ht="12.75" customHeight="1" x14ac:dyDescent="0.35">
      <c r="A68" s="38" t="s">
        <v>199</v>
      </c>
      <c r="B68" s="46" t="s">
        <v>198</v>
      </c>
      <c r="C68" s="22" t="s">
        <v>200</v>
      </c>
      <c r="D68" s="75">
        <f t="shared" si="17"/>
        <v>45921</v>
      </c>
      <c r="E68" s="75" t="s">
        <v>607</v>
      </c>
      <c r="F68" s="74">
        <f t="shared" si="18"/>
        <v>46286</v>
      </c>
      <c r="G68" s="228"/>
      <c r="H68" s="19">
        <v>5.875</v>
      </c>
      <c r="I68" s="71" t="s">
        <v>19</v>
      </c>
      <c r="J68" s="2" t="s">
        <v>4</v>
      </c>
      <c r="K68" s="2" t="s">
        <v>749</v>
      </c>
      <c r="L68" s="2" t="s">
        <v>201</v>
      </c>
      <c r="M68" s="67">
        <v>0.45</v>
      </c>
      <c r="N68" s="67"/>
      <c r="O68" s="87" t="s">
        <v>928</v>
      </c>
      <c r="P68" s="137" t="s">
        <v>929</v>
      </c>
      <c r="Q68" s="46" t="s">
        <v>198</v>
      </c>
      <c r="R68" t="b">
        <f t="shared" si="16"/>
        <v>1</v>
      </c>
      <c r="S68" t="b">
        <f t="shared" ref="S68:S131" si="19">V68=A68</f>
        <v>1</v>
      </c>
      <c r="T68" t="b">
        <f t="shared" ref="T68:T131" si="20">U68=B68</f>
        <v>1</v>
      </c>
      <c r="U68" s="46" t="s">
        <v>198</v>
      </c>
      <c r="V68" s="225" t="str">
        <f t="shared" ref="V68:V131" si="21">A68</f>
        <v>EDOSK5.875 21/09/2033</v>
      </c>
      <c r="W68" s="67">
        <f t="shared" si="14"/>
        <v>1.1250000000000001E-2</v>
      </c>
      <c r="X68" s="151">
        <f t="shared" ref="X68:X131" si="22">200000*W68</f>
        <v>2250.0000000000005</v>
      </c>
      <c r="Y68" s="152">
        <f ca="1">((Main!$C$4-D68)*(200000*(H68/100))/360)*0.025</f>
        <v>122.39583333333333</v>
      </c>
      <c r="Z68" s="152">
        <f t="shared" ref="Z68:Z131" ca="1" si="23">Y68+X68</f>
        <v>2372.3958333333339</v>
      </c>
      <c r="AA68" s="153">
        <f t="shared" ref="AA68:AA131" ca="1" si="24">Z68*3.6725</f>
        <v>8712.6236979166679</v>
      </c>
      <c r="AC68" s="67">
        <f t="shared" si="15"/>
        <v>1.1596500000000001E-2</v>
      </c>
      <c r="AD68" s="151">
        <f t="shared" ref="AD68:AD131" si="25">200000*AC68</f>
        <v>2319.3000000000002</v>
      </c>
      <c r="AE68">
        <f ca="1">((Main!$C$4-D68)*(200000*(H68/100))/360)*0.02577</f>
        <v>126.16562499999999</v>
      </c>
      <c r="AF68" s="152">
        <f t="shared" ref="AF68:AF131" ca="1" si="26">AE68+AD68</f>
        <v>2445.4656250000003</v>
      </c>
      <c r="AG68" s="153">
        <f t="shared" ref="AG68:AG131" ca="1" si="27">AF68*3.6725</f>
        <v>8980.9725078125011</v>
      </c>
    </row>
    <row r="69" spans="1:33" ht="12.75" customHeight="1" x14ac:dyDescent="0.35">
      <c r="A69" s="38" t="s">
        <v>220</v>
      </c>
      <c r="B69" s="46" t="s">
        <v>710</v>
      </c>
      <c r="C69" s="22" t="s">
        <v>221</v>
      </c>
      <c r="D69" s="75">
        <f t="shared" si="17"/>
        <v>45917</v>
      </c>
      <c r="E69" s="75" t="s">
        <v>608</v>
      </c>
      <c r="F69" s="74">
        <f t="shared" si="18"/>
        <v>46282</v>
      </c>
      <c r="G69" s="228"/>
      <c r="H69" s="19">
        <f>3+7/8</f>
        <v>3.875</v>
      </c>
      <c r="I69" s="71" t="s">
        <v>19</v>
      </c>
      <c r="J69" s="2" t="s">
        <v>4</v>
      </c>
      <c r="K69" s="2" t="s">
        <v>749</v>
      </c>
      <c r="L69" s="20" t="s">
        <v>5</v>
      </c>
      <c r="M69" s="67">
        <v>0.45</v>
      </c>
      <c r="N69" s="67"/>
      <c r="O69" s="87" t="s">
        <v>928</v>
      </c>
      <c r="P69" s="137" t="s">
        <v>929</v>
      </c>
      <c r="Q69" s="46" t="s">
        <v>710</v>
      </c>
      <c r="R69" t="b">
        <f t="shared" si="16"/>
        <v>1</v>
      </c>
      <c r="S69" t="b">
        <f t="shared" si="19"/>
        <v>1</v>
      </c>
      <c r="T69" t="b">
        <f t="shared" si="20"/>
        <v>1</v>
      </c>
      <c r="U69" s="46" t="s">
        <v>710</v>
      </c>
      <c r="V69" s="225" t="str">
        <f t="shared" si="21"/>
        <v>EMAAR 3 ⅞ 09/17/29 EMTN</v>
      </c>
      <c r="W69" s="67">
        <f t="shared" ref="W69:W132" si="28">M69*0.025</f>
        <v>1.1250000000000001E-2</v>
      </c>
      <c r="X69" s="151">
        <f t="shared" si="22"/>
        <v>2250.0000000000005</v>
      </c>
      <c r="Y69" s="152">
        <f ca="1">((Main!$C$4-D69)*(200000*(H69/100))/360)*0.025</f>
        <v>82.881944444444457</v>
      </c>
      <c r="Z69" s="152">
        <f t="shared" ca="1" si="23"/>
        <v>2332.8819444444448</v>
      </c>
      <c r="AA69" s="153">
        <f t="shared" ca="1" si="24"/>
        <v>8567.5089409722241</v>
      </c>
      <c r="AC69" s="67">
        <f t="shared" ref="AC69:AC132" si="29">M69*0.02577</f>
        <v>1.1596500000000001E-2</v>
      </c>
      <c r="AD69" s="151">
        <f t="shared" si="25"/>
        <v>2319.3000000000002</v>
      </c>
      <c r="AE69">
        <f ca="1">((Main!$C$4-D69)*(200000*(H69/100))/360)*0.02577</f>
        <v>85.434708333333333</v>
      </c>
      <c r="AF69" s="152">
        <f t="shared" ca="1" si="26"/>
        <v>2404.7347083333334</v>
      </c>
      <c r="AG69" s="153">
        <f t="shared" ca="1" si="27"/>
        <v>8831.3882163541675</v>
      </c>
    </row>
    <row r="70" spans="1:33" ht="12.75" customHeight="1" x14ac:dyDescent="0.35">
      <c r="A70" s="38" t="s">
        <v>222</v>
      </c>
      <c r="B70" s="46" t="s">
        <v>711</v>
      </c>
      <c r="C70" s="22" t="s">
        <v>223</v>
      </c>
      <c r="D70" s="75">
        <f t="shared" si="17"/>
        <v>46028</v>
      </c>
      <c r="E70" s="75" t="s">
        <v>609</v>
      </c>
      <c r="F70" s="74">
        <f t="shared" si="18"/>
        <v>46393</v>
      </c>
      <c r="G70" s="228"/>
      <c r="H70" s="56">
        <v>3.7</v>
      </c>
      <c r="I70" s="71" t="s">
        <v>19</v>
      </c>
      <c r="J70" s="2" t="s">
        <v>4</v>
      </c>
      <c r="K70" s="2" t="s">
        <v>749</v>
      </c>
      <c r="L70" s="2" t="s">
        <v>5</v>
      </c>
      <c r="M70" s="67">
        <v>0.45</v>
      </c>
      <c r="N70" s="67"/>
      <c r="O70" s="87" t="s">
        <v>928</v>
      </c>
      <c r="P70" s="137" t="s">
        <v>929</v>
      </c>
      <c r="Q70" s="46" t="s">
        <v>711</v>
      </c>
      <c r="R70" t="b">
        <f t="shared" si="16"/>
        <v>1</v>
      </c>
      <c r="S70" t="b">
        <f t="shared" si="19"/>
        <v>1</v>
      </c>
      <c r="T70" t="b">
        <f t="shared" si="20"/>
        <v>1</v>
      </c>
      <c r="U70" s="46" t="s">
        <v>711</v>
      </c>
      <c r="V70" s="225" t="str">
        <f t="shared" si="21"/>
        <v>EMAAR 3.70 - 6-JUL-31</v>
      </c>
      <c r="W70" s="67">
        <f t="shared" si="28"/>
        <v>1.1250000000000001E-2</v>
      </c>
      <c r="X70" s="151">
        <f t="shared" si="22"/>
        <v>2250.0000000000005</v>
      </c>
      <c r="Y70" s="152">
        <f ca="1">((Main!$C$4-D70)*(200000*(H70/100))/360)*0.025</f>
        <v>22.097222222222229</v>
      </c>
      <c r="Z70" s="152">
        <f t="shared" ca="1" si="23"/>
        <v>2272.0972222222226</v>
      </c>
      <c r="AA70" s="153">
        <f t="shared" ca="1" si="24"/>
        <v>8344.2770486111131</v>
      </c>
      <c r="AC70" s="67">
        <f t="shared" si="29"/>
        <v>1.1596500000000001E-2</v>
      </c>
      <c r="AD70" s="151">
        <f t="shared" si="25"/>
        <v>2319.3000000000002</v>
      </c>
      <c r="AE70">
        <f ca="1">((Main!$C$4-D70)*(200000*(H70/100))/360)*0.02577</f>
        <v>22.77781666666667</v>
      </c>
      <c r="AF70" s="152">
        <f t="shared" ca="1" si="26"/>
        <v>2342.0778166666669</v>
      </c>
      <c r="AG70" s="153">
        <f t="shared" ca="1" si="27"/>
        <v>8601.280781708334</v>
      </c>
    </row>
    <row r="71" spans="1:33" ht="12.75" customHeight="1" x14ac:dyDescent="0.35">
      <c r="A71" s="38" t="s">
        <v>224</v>
      </c>
      <c r="B71" s="46" t="s">
        <v>712</v>
      </c>
      <c r="C71" s="22" t="s">
        <v>225</v>
      </c>
      <c r="D71" s="75">
        <f t="shared" si="17"/>
        <v>45915</v>
      </c>
      <c r="E71" s="75" t="s">
        <v>610</v>
      </c>
      <c r="F71" s="74">
        <f t="shared" si="18"/>
        <v>46280</v>
      </c>
      <c r="G71" s="228"/>
      <c r="H71" s="19">
        <v>3.6349999999999998</v>
      </c>
      <c r="I71" s="71" t="s">
        <v>19</v>
      </c>
      <c r="J71" s="2" t="s">
        <v>4</v>
      </c>
      <c r="K71" s="2" t="s">
        <v>749</v>
      </c>
      <c r="L71" s="2" t="s">
        <v>5</v>
      </c>
      <c r="M71" s="67">
        <v>0.45</v>
      </c>
      <c r="N71" s="67"/>
      <c r="O71" s="87" t="s">
        <v>928</v>
      </c>
      <c r="P71" s="137" t="s">
        <v>929</v>
      </c>
      <c r="Q71" s="46" t="s">
        <v>712</v>
      </c>
      <c r="R71" t="b">
        <f t="shared" si="16"/>
        <v>1</v>
      </c>
      <c r="S71" t="b">
        <f t="shared" si="19"/>
        <v>1</v>
      </c>
      <c r="T71" t="b">
        <f t="shared" si="20"/>
        <v>1</v>
      </c>
      <c r="U71" s="46" t="s">
        <v>712</v>
      </c>
      <c r="V71" s="225" t="str">
        <f t="shared" si="21"/>
        <v>EMAAR SUKUK 3.635 - 09/26</v>
      </c>
      <c r="W71" s="67">
        <f t="shared" si="28"/>
        <v>1.1250000000000001E-2</v>
      </c>
      <c r="X71" s="151">
        <f t="shared" si="22"/>
        <v>2250.0000000000005</v>
      </c>
      <c r="Y71" s="152">
        <f ca="1">((Main!$C$4-D71)*(200000*(H71/100))/360)*0.025</f>
        <v>78.75833333333334</v>
      </c>
      <c r="Z71" s="152">
        <f t="shared" ca="1" si="23"/>
        <v>2328.7583333333337</v>
      </c>
      <c r="AA71" s="153">
        <f t="shared" ca="1" si="24"/>
        <v>8552.3649791666685</v>
      </c>
      <c r="AC71" s="67">
        <f t="shared" si="29"/>
        <v>1.1596500000000001E-2</v>
      </c>
      <c r="AD71" s="151">
        <f t="shared" si="25"/>
        <v>2319.3000000000002</v>
      </c>
      <c r="AE71">
        <f ca="1">((Main!$C$4-D71)*(200000*(H71/100))/360)*0.02577</f>
        <v>81.184090000000012</v>
      </c>
      <c r="AF71" s="152">
        <f t="shared" ca="1" si="26"/>
        <v>2400.4840900000004</v>
      </c>
      <c r="AG71" s="153">
        <f t="shared" ca="1" si="27"/>
        <v>8815.7778205250015</v>
      </c>
    </row>
    <row r="72" spans="1:33" ht="12.75" customHeight="1" x14ac:dyDescent="0.35">
      <c r="A72" s="38" t="s">
        <v>227</v>
      </c>
      <c r="B72" s="46" t="s">
        <v>226</v>
      </c>
      <c r="C72" s="22" t="s">
        <v>228</v>
      </c>
      <c r="D72" s="75">
        <f t="shared" si="17"/>
        <v>45922</v>
      </c>
      <c r="E72" s="75" t="s">
        <v>582</v>
      </c>
      <c r="F72" s="74">
        <f t="shared" si="18"/>
        <v>46287</v>
      </c>
      <c r="G72" s="228"/>
      <c r="H72" s="19">
        <v>4.5</v>
      </c>
      <c r="I72" s="71" t="s">
        <v>19</v>
      </c>
      <c r="J72" s="2" t="s">
        <v>6</v>
      </c>
      <c r="K72" s="2" t="s">
        <v>738</v>
      </c>
      <c r="L72" s="64" t="s">
        <v>229</v>
      </c>
      <c r="M72" s="67">
        <v>1</v>
      </c>
      <c r="N72" s="67"/>
      <c r="O72" s="87" t="s">
        <v>939</v>
      </c>
      <c r="P72" s="137" t="s">
        <v>940</v>
      </c>
      <c r="Q72" s="46" t="s">
        <v>226</v>
      </c>
      <c r="R72" t="b">
        <f t="shared" si="16"/>
        <v>1</v>
      </c>
      <c r="S72" t="b">
        <f t="shared" si="19"/>
        <v>1</v>
      </c>
      <c r="T72" t="b">
        <f t="shared" si="20"/>
        <v>1</v>
      </c>
      <c r="U72" s="46" t="s">
        <v>226</v>
      </c>
      <c r="V72" s="225" t="str">
        <f t="shared" si="21"/>
        <v>EMIRAT 4 ½ 03/22/28</v>
      </c>
      <c r="W72" s="67">
        <f t="shared" si="28"/>
        <v>2.5000000000000001E-2</v>
      </c>
      <c r="X72" s="151">
        <f t="shared" si="22"/>
        <v>5000</v>
      </c>
      <c r="Y72" s="152">
        <f ca="1">((Main!$C$4-D72)*(200000*(H72/100))/360)*0.025</f>
        <v>93.125</v>
      </c>
      <c r="Z72" s="152">
        <f t="shared" ca="1" si="23"/>
        <v>5093.125</v>
      </c>
      <c r="AA72" s="153">
        <f t="shared" ca="1" si="24"/>
        <v>18704.501562499998</v>
      </c>
      <c r="AC72" s="67">
        <f t="shared" si="29"/>
        <v>2.5770000000000001E-2</v>
      </c>
      <c r="AD72" s="151">
        <f t="shared" si="25"/>
        <v>5154</v>
      </c>
      <c r="AE72">
        <f ca="1">((Main!$C$4-D72)*(200000*(H72/100))/360)*0.02577</f>
        <v>95.993250000000003</v>
      </c>
      <c r="AF72" s="152">
        <f t="shared" ca="1" si="26"/>
        <v>5249.9932500000004</v>
      </c>
      <c r="AG72" s="153">
        <f t="shared" ca="1" si="27"/>
        <v>19280.600210625002</v>
      </c>
    </row>
    <row r="73" spans="1:33" ht="12.75" customHeight="1" x14ac:dyDescent="0.35">
      <c r="A73" s="38" t="s">
        <v>210</v>
      </c>
      <c r="B73" s="46" t="s">
        <v>765</v>
      </c>
      <c r="C73" s="22" t="s">
        <v>211</v>
      </c>
      <c r="D73" s="75">
        <f t="shared" si="17"/>
        <v>45989</v>
      </c>
      <c r="E73" s="75" t="s">
        <v>573</v>
      </c>
      <c r="F73" s="74">
        <f t="shared" si="18"/>
        <v>46354</v>
      </c>
      <c r="G73" s="228"/>
      <c r="H73" s="19">
        <v>5.431</v>
      </c>
      <c r="I73" s="71" t="s">
        <v>19</v>
      </c>
      <c r="J73" s="2" t="s">
        <v>54</v>
      </c>
      <c r="K73" s="2" t="s">
        <v>760</v>
      </c>
      <c r="L73" s="1" t="s">
        <v>45</v>
      </c>
      <c r="M73" s="67">
        <v>0.49</v>
      </c>
      <c r="N73" s="67"/>
      <c r="O73" s="87" t="s">
        <v>946</v>
      </c>
      <c r="P73" s="137" t="s">
        <v>947</v>
      </c>
      <c r="Q73" s="46" t="s">
        <v>992</v>
      </c>
      <c r="R73" t="b">
        <f t="shared" si="16"/>
        <v>0</v>
      </c>
      <c r="S73" t="b">
        <f t="shared" si="19"/>
        <v>1</v>
      </c>
      <c r="T73" t="b">
        <f t="shared" si="20"/>
        <v>1</v>
      </c>
      <c r="U73" s="46" t="s">
        <v>765</v>
      </c>
      <c r="V73" s="225" t="str">
        <f t="shared" si="21"/>
        <v>EIB 5.431 28/05/2029</v>
      </c>
      <c r="W73" s="67">
        <f t="shared" si="28"/>
        <v>1.225E-2</v>
      </c>
      <c r="X73" s="151">
        <f t="shared" si="22"/>
        <v>2450</v>
      </c>
      <c r="Y73" s="152">
        <f ca="1">((Main!$C$4-D73)*(200000*(H73/100))/360)*0.025</f>
        <v>61.853055555555557</v>
      </c>
      <c r="Z73" s="152">
        <f t="shared" ca="1" si="23"/>
        <v>2511.8530555555553</v>
      </c>
      <c r="AA73" s="153">
        <f t="shared" ca="1" si="24"/>
        <v>9224.7803465277775</v>
      </c>
      <c r="AC73" s="67">
        <f t="shared" si="29"/>
        <v>1.2627300000000001E-2</v>
      </c>
      <c r="AD73" s="151">
        <f t="shared" si="25"/>
        <v>2525.46</v>
      </c>
      <c r="AE73">
        <f ca="1">((Main!$C$4-D73)*(200000*(H73/100))/360)*0.02577</f>
        <v>63.758129666666669</v>
      </c>
      <c r="AF73" s="152">
        <f t="shared" ca="1" si="26"/>
        <v>2589.2181296666668</v>
      </c>
      <c r="AG73" s="153">
        <f t="shared" ca="1" si="27"/>
        <v>9508.9035812008333</v>
      </c>
    </row>
    <row r="74" spans="1:33" ht="12.75" customHeight="1" x14ac:dyDescent="0.35">
      <c r="A74" s="38" t="s">
        <v>212</v>
      </c>
      <c r="B74" s="46" t="s">
        <v>766</v>
      </c>
      <c r="C74" s="22" t="s">
        <v>213</v>
      </c>
      <c r="D74" s="75">
        <f t="shared" si="17"/>
        <v>45963</v>
      </c>
      <c r="E74" s="75" t="s">
        <v>618</v>
      </c>
      <c r="F74" s="74">
        <f t="shared" si="18"/>
        <v>46328</v>
      </c>
      <c r="G74" s="228"/>
      <c r="H74" s="19">
        <v>2.0819999999999999</v>
      </c>
      <c r="I74" s="71" t="s">
        <v>19</v>
      </c>
      <c r="J74" s="2" t="s">
        <v>54</v>
      </c>
      <c r="K74" s="2" t="s">
        <v>760</v>
      </c>
      <c r="L74" s="1" t="s">
        <v>45</v>
      </c>
      <c r="M74" s="67">
        <v>0.49</v>
      </c>
      <c r="N74" s="67"/>
      <c r="O74" s="87" t="s">
        <v>946</v>
      </c>
      <c r="P74" s="137" t="s">
        <v>947</v>
      </c>
      <c r="Q74" s="46" t="s">
        <v>992</v>
      </c>
      <c r="R74" t="b">
        <f t="shared" si="16"/>
        <v>0</v>
      </c>
      <c r="S74" t="b">
        <f t="shared" si="19"/>
        <v>1</v>
      </c>
      <c r="T74" t="b">
        <f t="shared" si="20"/>
        <v>1</v>
      </c>
      <c r="U74" s="46" t="s">
        <v>766</v>
      </c>
      <c r="V74" s="225" t="str">
        <f t="shared" si="21"/>
        <v>EIBUH 2.082 11/02/26 EMTN</v>
      </c>
      <c r="W74" s="67">
        <f t="shared" si="28"/>
        <v>1.225E-2</v>
      </c>
      <c r="X74" s="151">
        <f t="shared" si="22"/>
        <v>2450</v>
      </c>
      <c r="Y74" s="152">
        <f ca="1">((Main!$C$4-D74)*(200000*(H74/100))/360)*0.025</f>
        <v>31.230000000000004</v>
      </c>
      <c r="Z74" s="152">
        <f t="shared" ca="1" si="23"/>
        <v>2481.23</v>
      </c>
      <c r="AA74" s="153">
        <f t="shared" ca="1" si="24"/>
        <v>9112.3171750000001</v>
      </c>
      <c r="AC74" s="67">
        <f t="shared" si="29"/>
        <v>1.2627300000000001E-2</v>
      </c>
      <c r="AD74" s="151">
        <f t="shared" si="25"/>
        <v>2525.46</v>
      </c>
      <c r="AE74">
        <f ca="1">((Main!$C$4-D74)*(200000*(H74/100))/360)*0.02577</f>
        <v>32.191884000000002</v>
      </c>
      <c r="AF74" s="152">
        <f t="shared" ca="1" si="26"/>
        <v>2557.6518839999999</v>
      </c>
      <c r="AG74" s="153">
        <f t="shared" ca="1" si="27"/>
        <v>9392.9765439899984</v>
      </c>
    </row>
    <row r="75" spans="1:33" ht="12.75" customHeight="1" x14ac:dyDescent="0.35">
      <c r="A75" s="38" t="s">
        <v>214</v>
      </c>
      <c r="B75" s="46" t="s">
        <v>767</v>
      </c>
      <c r="C75" s="22" t="s">
        <v>215</v>
      </c>
      <c r="D75" s="75">
        <f t="shared" si="17"/>
        <v>45923</v>
      </c>
      <c r="E75" s="75" t="s">
        <v>629</v>
      </c>
      <c r="F75" s="74">
        <f t="shared" si="18"/>
        <v>46288</v>
      </c>
      <c r="G75" s="228"/>
      <c r="H75" s="19">
        <v>4.54</v>
      </c>
      <c r="I75" s="71" t="s">
        <v>19</v>
      </c>
      <c r="J75" s="2" t="s">
        <v>54</v>
      </c>
      <c r="K75" s="2" t="s">
        <v>760</v>
      </c>
      <c r="L75" s="1" t="s">
        <v>45</v>
      </c>
      <c r="M75" s="67">
        <v>0.49</v>
      </c>
      <c r="N75" s="67"/>
      <c r="O75" s="87" t="s">
        <v>946</v>
      </c>
      <c r="P75" s="137" t="s">
        <v>947</v>
      </c>
      <c r="Q75" s="46" t="s">
        <v>992</v>
      </c>
      <c r="R75" t="b">
        <f t="shared" si="16"/>
        <v>0</v>
      </c>
      <c r="S75" t="b">
        <f t="shared" si="19"/>
        <v>1</v>
      </c>
      <c r="T75" t="b">
        <f t="shared" si="20"/>
        <v>1</v>
      </c>
      <c r="U75" s="46" t="s">
        <v>767</v>
      </c>
      <c r="V75" s="225" t="str">
        <f t="shared" si="21"/>
        <v>EIBUH 4.54 23/03/31</v>
      </c>
      <c r="W75" s="67">
        <f t="shared" si="28"/>
        <v>1.225E-2</v>
      </c>
      <c r="X75" s="151">
        <f t="shared" si="22"/>
        <v>2450</v>
      </c>
      <c r="Y75" s="152">
        <f ca="1">((Main!$C$4-D75)*(200000*(H75/100))/360)*0.025</f>
        <v>93.322222222222223</v>
      </c>
      <c r="Z75" s="152">
        <f t="shared" ca="1" si="23"/>
        <v>2543.3222222222221</v>
      </c>
      <c r="AA75" s="153">
        <f t="shared" ca="1" si="24"/>
        <v>9340.3508611111101</v>
      </c>
      <c r="AC75" s="67">
        <f t="shared" si="29"/>
        <v>1.2627300000000001E-2</v>
      </c>
      <c r="AD75" s="151">
        <f t="shared" si="25"/>
        <v>2525.46</v>
      </c>
      <c r="AE75">
        <f ca="1">((Main!$C$4-D75)*(200000*(H75/100))/360)*0.02577</f>
        <v>96.196546666666663</v>
      </c>
      <c r="AF75" s="152">
        <f t="shared" ca="1" si="26"/>
        <v>2621.6565466666666</v>
      </c>
      <c r="AG75" s="153">
        <f t="shared" ca="1" si="27"/>
        <v>9628.0336676333336</v>
      </c>
    </row>
    <row r="76" spans="1:33" ht="12.75" customHeight="1" x14ac:dyDescent="0.35">
      <c r="A76" s="38" t="s">
        <v>216</v>
      </c>
      <c r="B76" s="46" t="s">
        <v>768</v>
      </c>
      <c r="C76" s="22" t="s">
        <v>217</v>
      </c>
      <c r="D76" s="75">
        <f t="shared" si="17"/>
        <v>45925</v>
      </c>
      <c r="E76" s="75" t="s">
        <v>631</v>
      </c>
      <c r="F76" s="74">
        <f t="shared" si="18"/>
        <v>46290</v>
      </c>
      <c r="G76" s="228"/>
      <c r="H76" s="19">
        <v>5.0590000000000002</v>
      </c>
      <c r="I76" s="71" t="s">
        <v>19</v>
      </c>
      <c r="J76" s="2" t="s">
        <v>54</v>
      </c>
      <c r="K76" s="2" t="s">
        <v>760</v>
      </c>
      <c r="L76" s="1" t="s">
        <v>45</v>
      </c>
      <c r="M76" s="67">
        <v>0.49</v>
      </c>
      <c r="N76" s="67"/>
      <c r="O76" s="87" t="s">
        <v>946</v>
      </c>
      <c r="P76" s="137" t="s">
        <v>947</v>
      </c>
      <c r="Q76" s="46" t="s">
        <v>992</v>
      </c>
      <c r="R76" t="b">
        <f t="shared" si="16"/>
        <v>0</v>
      </c>
      <c r="S76" t="b">
        <f t="shared" si="19"/>
        <v>1</v>
      </c>
      <c r="T76" t="b">
        <f t="shared" si="20"/>
        <v>1</v>
      </c>
      <c r="U76" s="46" t="s">
        <v>768</v>
      </c>
      <c r="V76" s="225" t="str">
        <f t="shared" si="21"/>
        <v>EIBUH 5.059 25/03/30</v>
      </c>
      <c r="W76" s="67">
        <f t="shared" si="28"/>
        <v>1.225E-2</v>
      </c>
      <c r="X76" s="151">
        <f t="shared" si="22"/>
        <v>2450</v>
      </c>
      <c r="Y76" s="152">
        <f ca="1">((Main!$C$4-D76)*(200000*(H76/100))/360)*0.025</f>
        <v>102.58527777777779</v>
      </c>
      <c r="Z76" s="152">
        <f t="shared" ca="1" si="23"/>
        <v>2552.5852777777777</v>
      </c>
      <c r="AA76" s="153">
        <f t="shared" ca="1" si="24"/>
        <v>9374.3694326388886</v>
      </c>
      <c r="AC76" s="67">
        <f t="shared" si="29"/>
        <v>1.2627300000000001E-2</v>
      </c>
      <c r="AD76" s="151">
        <f t="shared" si="25"/>
        <v>2525.46</v>
      </c>
      <c r="AE76">
        <f ca="1">((Main!$C$4-D76)*(200000*(H76/100))/360)*0.02577</f>
        <v>105.74490433333335</v>
      </c>
      <c r="AF76" s="152">
        <f t="shared" ca="1" si="26"/>
        <v>2631.2049043333336</v>
      </c>
      <c r="AG76" s="153">
        <f t="shared" ca="1" si="27"/>
        <v>9663.1000111641679</v>
      </c>
    </row>
    <row r="77" spans="1:33" ht="12.75" customHeight="1" x14ac:dyDescent="0.35">
      <c r="A77" s="38" t="s">
        <v>218</v>
      </c>
      <c r="B77" s="46" t="s">
        <v>769</v>
      </c>
      <c r="C77" s="22" t="s">
        <v>219</v>
      </c>
      <c r="D77" s="75">
        <f t="shared" si="17"/>
        <v>45884</v>
      </c>
      <c r="E77" s="75" t="s">
        <v>632</v>
      </c>
      <c r="F77" s="74">
        <f t="shared" si="18"/>
        <v>46249</v>
      </c>
      <c r="G77" s="228"/>
      <c r="H77" s="19">
        <v>5.05</v>
      </c>
      <c r="I77" s="71" t="s">
        <v>19</v>
      </c>
      <c r="J77" s="2" t="s">
        <v>54</v>
      </c>
      <c r="K77" s="2" t="s">
        <v>760</v>
      </c>
      <c r="L77" s="1" t="s">
        <v>45</v>
      </c>
      <c r="M77" s="67">
        <v>0.49</v>
      </c>
      <c r="N77" s="67"/>
      <c r="O77" s="87" t="s">
        <v>946</v>
      </c>
      <c r="P77" s="137" t="s">
        <v>947</v>
      </c>
      <c r="Q77" s="46" t="s">
        <v>992</v>
      </c>
      <c r="R77" t="b">
        <f t="shared" si="16"/>
        <v>0</v>
      </c>
      <c r="S77" t="b">
        <f t="shared" si="19"/>
        <v>1</v>
      </c>
      <c r="T77" t="b">
        <f t="shared" si="20"/>
        <v>1</v>
      </c>
      <c r="U77" s="46" t="s">
        <v>769</v>
      </c>
      <c r="V77" s="225" t="str">
        <f t="shared" si="21"/>
        <v>EIBUH SUKUK 5.05 02/26</v>
      </c>
      <c r="W77" s="67">
        <f t="shared" si="28"/>
        <v>1.225E-2</v>
      </c>
      <c r="X77" s="151">
        <f t="shared" si="22"/>
        <v>2450</v>
      </c>
      <c r="Y77" s="152">
        <f ca="1">((Main!$C$4-D77)*(200000*(H77/100))/360)*0.025</f>
        <v>131.15972222222223</v>
      </c>
      <c r="Z77" s="152">
        <f t="shared" ca="1" si="23"/>
        <v>2581.1597222222222</v>
      </c>
      <c r="AA77" s="153">
        <f t="shared" ca="1" si="24"/>
        <v>9479.3090798611101</v>
      </c>
      <c r="AC77" s="67">
        <f t="shared" si="29"/>
        <v>1.2627300000000001E-2</v>
      </c>
      <c r="AD77" s="151">
        <f t="shared" si="25"/>
        <v>2525.46</v>
      </c>
      <c r="AE77">
        <f ca="1">((Main!$C$4-D77)*(200000*(H77/100))/360)*0.02577</f>
        <v>135.19944166666667</v>
      </c>
      <c r="AF77" s="152">
        <f t="shared" ca="1" si="26"/>
        <v>2660.6594416666667</v>
      </c>
      <c r="AG77" s="153">
        <f t="shared" ca="1" si="27"/>
        <v>9771.2717995208332</v>
      </c>
    </row>
    <row r="78" spans="1:33" ht="12.75" customHeight="1" x14ac:dyDescent="0.35">
      <c r="A78" s="38" t="s">
        <v>235</v>
      </c>
      <c r="B78" s="46" t="s">
        <v>234</v>
      </c>
      <c r="C78" s="22" t="s">
        <v>236</v>
      </c>
      <c r="D78" s="75">
        <f t="shared" si="17"/>
        <v>45883</v>
      </c>
      <c r="E78" s="75" t="s">
        <v>617</v>
      </c>
      <c r="F78" s="74">
        <f t="shared" si="18"/>
        <v>46248</v>
      </c>
      <c r="G78" s="228"/>
      <c r="H78" s="19">
        <v>5.8310000000000004</v>
      </c>
      <c r="I78" s="71" t="s">
        <v>19</v>
      </c>
      <c r="J78" s="27" t="s">
        <v>54</v>
      </c>
      <c r="K78" s="2" t="s">
        <v>760</v>
      </c>
      <c r="L78" s="27" t="s">
        <v>55</v>
      </c>
      <c r="M78" s="67">
        <v>0.49</v>
      </c>
      <c r="N78" s="67"/>
      <c r="O78" s="87" t="s">
        <v>946</v>
      </c>
      <c r="P78" s="137" t="s">
        <v>947</v>
      </c>
      <c r="Q78" s="46" t="s">
        <v>234</v>
      </c>
      <c r="R78" t="b">
        <f t="shared" si="16"/>
        <v>1</v>
      </c>
      <c r="S78" t="b">
        <f t="shared" si="19"/>
        <v>1</v>
      </c>
      <c r="T78" t="b">
        <f t="shared" si="20"/>
        <v>1</v>
      </c>
      <c r="U78" s="46" t="s">
        <v>234</v>
      </c>
      <c r="V78" s="225" t="str">
        <f t="shared" si="21"/>
        <v>ESICSU 5.831 14/02/2029</v>
      </c>
      <c r="W78" s="67">
        <f t="shared" si="28"/>
        <v>1.225E-2</v>
      </c>
      <c r="X78" s="151">
        <f t="shared" si="22"/>
        <v>2450</v>
      </c>
      <c r="Y78" s="152">
        <f ca="1">((Main!$C$4-D78)*(200000*(H78/100))/360)*0.025</f>
        <v>152.25388888888889</v>
      </c>
      <c r="Z78" s="152">
        <f t="shared" ca="1" si="23"/>
        <v>2602.2538888888889</v>
      </c>
      <c r="AA78" s="153">
        <f t="shared" ca="1" si="24"/>
        <v>9556.777406944444</v>
      </c>
      <c r="AC78" s="67">
        <f t="shared" si="29"/>
        <v>1.2627300000000001E-2</v>
      </c>
      <c r="AD78" s="151">
        <f t="shared" si="25"/>
        <v>2525.46</v>
      </c>
      <c r="AE78">
        <f ca="1">((Main!$C$4-D78)*(200000*(H78/100))/360)*0.02577</f>
        <v>156.94330866666667</v>
      </c>
      <c r="AF78" s="152">
        <f t="shared" ca="1" si="26"/>
        <v>2682.4033086666668</v>
      </c>
      <c r="AG78" s="153">
        <f t="shared" ca="1" si="27"/>
        <v>9851.1261510783334</v>
      </c>
    </row>
    <row r="79" spans="1:33" ht="12.75" customHeight="1" x14ac:dyDescent="0.35">
      <c r="A79" s="38" t="s">
        <v>231</v>
      </c>
      <c r="B79" s="46" t="s">
        <v>230</v>
      </c>
      <c r="C79" s="22" t="s">
        <v>232</v>
      </c>
      <c r="D79" s="75">
        <f t="shared" si="17"/>
        <v>45905</v>
      </c>
      <c r="E79" s="75" t="s">
        <v>616</v>
      </c>
      <c r="F79" s="74">
        <f t="shared" si="18"/>
        <v>46270</v>
      </c>
      <c r="G79" s="228"/>
      <c r="H79" s="19">
        <v>5</v>
      </c>
      <c r="I79" s="71" t="s">
        <v>19</v>
      </c>
      <c r="J79" s="27" t="s">
        <v>4</v>
      </c>
      <c r="K79" s="2" t="s">
        <v>749</v>
      </c>
      <c r="L79" s="27" t="s">
        <v>233</v>
      </c>
      <c r="M79" s="67">
        <v>0.45</v>
      </c>
      <c r="N79" s="67"/>
      <c r="O79" s="87" t="s">
        <v>928</v>
      </c>
      <c r="P79" s="137" t="s">
        <v>929</v>
      </c>
      <c r="Q79" s="46" t="s">
        <v>230</v>
      </c>
      <c r="R79" t="b">
        <f t="shared" si="16"/>
        <v>1</v>
      </c>
      <c r="S79" t="b">
        <f t="shared" si="19"/>
        <v>1</v>
      </c>
      <c r="T79" t="b">
        <f t="shared" si="20"/>
        <v>1</v>
      </c>
      <c r="U79" s="46" t="s">
        <v>230</v>
      </c>
      <c r="V79" s="225" t="str">
        <f t="shared" si="21"/>
        <v>EQPCKW 5 05/09/2031</v>
      </c>
      <c r="W79" s="67">
        <f t="shared" si="28"/>
        <v>1.1250000000000001E-2</v>
      </c>
      <c r="X79" s="151">
        <f t="shared" si="22"/>
        <v>2250.0000000000005</v>
      </c>
      <c r="Y79" s="152">
        <f ca="1">((Main!$C$4-D79)*(200000*(H79/100))/360)*0.025</f>
        <v>115.27777777777779</v>
      </c>
      <c r="Z79" s="152">
        <f t="shared" ca="1" si="23"/>
        <v>2365.2777777777783</v>
      </c>
      <c r="AA79" s="153">
        <f t="shared" ca="1" si="24"/>
        <v>8686.4826388888905</v>
      </c>
      <c r="AC79" s="67">
        <f t="shared" si="29"/>
        <v>1.1596500000000001E-2</v>
      </c>
      <c r="AD79" s="151">
        <f t="shared" si="25"/>
        <v>2319.3000000000002</v>
      </c>
      <c r="AE79">
        <f ca="1">((Main!$C$4-D79)*(200000*(H79/100))/360)*0.02577</f>
        <v>118.82833333333335</v>
      </c>
      <c r="AF79" s="152">
        <f t="shared" ca="1" si="26"/>
        <v>2438.1283333333336</v>
      </c>
      <c r="AG79" s="153">
        <f t="shared" ca="1" si="27"/>
        <v>8954.0263041666676</v>
      </c>
    </row>
    <row r="80" spans="1:33" ht="12.75" customHeight="1" x14ac:dyDescent="0.35">
      <c r="A80" s="38" t="s">
        <v>237</v>
      </c>
      <c r="B80" s="46" t="s">
        <v>770</v>
      </c>
      <c r="C80" s="22" t="s">
        <v>238</v>
      </c>
      <c r="D80" s="75">
        <f t="shared" si="17"/>
        <v>46039</v>
      </c>
      <c r="E80" s="75" t="s">
        <v>613</v>
      </c>
      <c r="F80" s="74">
        <f t="shared" si="18"/>
        <v>46404</v>
      </c>
      <c r="G80" s="228"/>
      <c r="H80" s="19">
        <v>4.5810000000000004</v>
      </c>
      <c r="I80" s="71" t="s">
        <v>19</v>
      </c>
      <c r="J80" s="2" t="s">
        <v>54</v>
      </c>
      <c r="K80" s="2" t="s">
        <v>760</v>
      </c>
      <c r="L80" s="1" t="s">
        <v>45</v>
      </c>
      <c r="M80" s="67">
        <v>0.49</v>
      </c>
      <c r="N80" s="67"/>
      <c r="O80" s="87" t="s">
        <v>946</v>
      </c>
      <c r="P80" s="137" t="s">
        <v>947</v>
      </c>
      <c r="Q80" s="46" t="s">
        <v>993</v>
      </c>
      <c r="R80" t="b">
        <f t="shared" si="16"/>
        <v>0</v>
      </c>
      <c r="S80" t="b">
        <f t="shared" si="19"/>
        <v>1</v>
      </c>
      <c r="T80" t="b">
        <f t="shared" si="20"/>
        <v>1</v>
      </c>
      <c r="U80" s="46" t="s">
        <v>770</v>
      </c>
      <c r="V80" s="225" t="str">
        <f t="shared" si="21"/>
        <v>FABUH 4.581 17/01/2028</v>
      </c>
      <c r="W80" s="67">
        <f t="shared" si="28"/>
        <v>1.225E-2</v>
      </c>
      <c r="X80" s="151">
        <f t="shared" si="22"/>
        <v>2450</v>
      </c>
      <c r="Y80" s="152">
        <f ca="1">((Main!$C$4-D80)*(200000*(H80/100))/360)*0.025</f>
        <v>20.36</v>
      </c>
      <c r="Z80" s="152">
        <f t="shared" ca="1" si="23"/>
        <v>2470.36</v>
      </c>
      <c r="AA80" s="153">
        <f t="shared" ca="1" si="24"/>
        <v>9072.3971000000001</v>
      </c>
      <c r="AC80" s="67">
        <f t="shared" si="29"/>
        <v>1.2627300000000001E-2</v>
      </c>
      <c r="AD80" s="151">
        <f t="shared" si="25"/>
        <v>2525.46</v>
      </c>
      <c r="AE80">
        <f ca="1">((Main!$C$4-D80)*(200000*(H80/100))/360)*0.02577</f>
        <v>20.987088</v>
      </c>
      <c r="AF80" s="152">
        <f t="shared" ca="1" si="26"/>
        <v>2546.4470879999999</v>
      </c>
      <c r="AG80" s="153">
        <f t="shared" ca="1" si="27"/>
        <v>9351.8269306799994</v>
      </c>
    </row>
    <row r="81" spans="1:34" ht="12.75" customHeight="1" x14ac:dyDescent="0.35">
      <c r="A81" s="38" t="s">
        <v>239</v>
      </c>
      <c r="B81" s="46" t="s">
        <v>772</v>
      </c>
      <c r="C81" s="22" t="s">
        <v>240</v>
      </c>
      <c r="D81" s="75">
        <f t="shared" si="17"/>
        <v>46045</v>
      </c>
      <c r="E81" s="75" t="s">
        <v>635</v>
      </c>
      <c r="F81" s="74">
        <f t="shared" si="18"/>
        <v>46410</v>
      </c>
      <c r="G81" s="228"/>
      <c r="H81" s="19">
        <v>4.7789999999999999</v>
      </c>
      <c r="I81" s="71" t="s">
        <v>19</v>
      </c>
      <c r="J81" s="2" t="s">
        <v>54</v>
      </c>
      <c r="K81" s="2" t="s">
        <v>760</v>
      </c>
      <c r="L81" s="1" t="s">
        <v>45</v>
      </c>
      <c r="M81" s="67">
        <v>0.49</v>
      </c>
      <c r="N81" s="67"/>
      <c r="O81" s="87" t="s">
        <v>946</v>
      </c>
      <c r="P81" s="137" t="s">
        <v>947</v>
      </c>
      <c r="Q81" s="46" t="s">
        <v>993</v>
      </c>
      <c r="R81" t="b">
        <f t="shared" si="16"/>
        <v>0</v>
      </c>
      <c r="S81" t="b">
        <f t="shared" si="19"/>
        <v>1</v>
      </c>
      <c r="T81" t="b">
        <f t="shared" si="20"/>
        <v>1</v>
      </c>
      <c r="U81" s="46" t="s">
        <v>772</v>
      </c>
      <c r="V81" s="225" t="str">
        <f t="shared" si="21"/>
        <v>FABUH 4.779 23/01/2029</v>
      </c>
      <c r="W81" s="67">
        <f t="shared" si="28"/>
        <v>1.225E-2</v>
      </c>
      <c r="X81" s="151">
        <f t="shared" si="22"/>
        <v>2450</v>
      </c>
      <c r="Y81" s="152">
        <f ca="1">((Main!$C$4-D81)*(200000*(H81/100))/360)*0.025</f>
        <v>17.2575</v>
      </c>
      <c r="Z81" s="152">
        <f t="shared" ca="1" si="23"/>
        <v>2467.2575000000002</v>
      </c>
      <c r="AA81" s="153">
        <f t="shared" ca="1" si="24"/>
        <v>9061.0031687499995</v>
      </c>
      <c r="AC81" s="67">
        <f t="shared" si="29"/>
        <v>1.2627300000000001E-2</v>
      </c>
      <c r="AD81" s="151">
        <f t="shared" si="25"/>
        <v>2525.46</v>
      </c>
      <c r="AE81">
        <f ca="1">((Main!$C$4-D81)*(200000*(H81/100))/360)*0.02577</f>
        <v>17.789031000000001</v>
      </c>
      <c r="AF81" s="152">
        <f t="shared" ca="1" si="26"/>
        <v>2543.2490309999998</v>
      </c>
      <c r="AG81" s="153">
        <f t="shared" ca="1" si="27"/>
        <v>9340.0820663474988</v>
      </c>
    </row>
    <row r="82" spans="1:34" ht="12.75" customHeight="1" x14ac:dyDescent="0.35">
      <c r="A82" s="38" t="s">
        <v>241</v>
      </c>
      <c r="B82" s="46" t="s">
        <v>773</v>
      </c>
      <c r="C82" s="22" t="s">
        <v>242</v>
      </c>
      <c r="D82" s="75">
        <f t="shared" si="17"/>
        <v>46038</v>
      </c>
      <c r="E82" s="75" t="s">
        <v>636</v>
      </c>
      <c r="F82" s="74">
        <f t="shared" si="18"/>
        <v>46403</v>
      </c>
      <c r="G82" s="228"/>
      <c r="H82" s="19">
        <v>5.1529999999999996</v>
      </c>
      <c r="I82" s="71" t="s">
        <v>19</v>
      </c>
      <c r="J82" s="2" t="s">
        <v>54</v>
      </c>
      <c r="K82" s="2" t="s">
        <v>760</v>
      </c>
      <c r="L82" s="1" t="s">
        <v>45</v>
      </c>
      <c r="M82" s="67">
        <v>0.49</v>
      </c>
      <c r="N82" s="67"/>
      <c r="O82" s="87" t="s">
        <v>946</v>
      </c>
      <c r="P82" s="137" t="s">
        <v>947</v>
      </c>
      <c r="Q82" s="46" t="s">
        <v>993</v>
      </c>
      <c r="R82" t="b">
        <f t="shared" si="16"/>
        <v>0</v>
      </c>
      <c r="S82" t="b">
        <f t="shared" si="19"/>
        <v>1</v>
      </c>
      <c r="T82" t="b">
        <f t="shared" si="20"/>
        <v>1</v>
      </c>
      <c r="U82" s="46" t="s">
        <v>773</v>
      </c>
      <c r="V82" s="225" t="str">
        <f t="shared" si="21"/>
        <v>FABUH 5.153 16/01/2030</v>
      </c>
      <c r="W82" s="67">
        <f t="shared" si="28"/>
        <v>1.225E-2</v>
      </c>
      <c r="X82" s="151">
        <f t="shared" si="22"/>
        <v>2450</v>
      </c>
      <c r="Y82" s="152">
        <f ca="1">((Main!$C$4-D82)*(200000*(H82/100))/360)*0.025</f>
        <v>23.617916666666662</v>
      </c>
      <c r="Z82" s="152">
        <f t="shared" ca="1" si="23"/>
        <v>2473.6179166666666</v>
      </c>
      <c r="AA82" s="153">
        <f t="shared" ca="1" si="24"/>
        <v>9084.3617989583327</v>
      </c>
      <c r="AC82" s="67">
        <f t="shared" si="29"/>
        <v>1.2627300000000001E-2</v>
      </c>
      <c r="AD82" s="151">
        <f t="shared" si="25"/>
        <v>2525.46</v>
      </c>
      <c r="AE82">
        <f ca="1">((Main!$C$4-D82)*(200000*(H82/100))/360)*0.02577</f>
        <v>24.345348499999997</v>
      </c>
      <c r="AF82" s="152">
        <f t="shared" ca="1" si="26"/>
        <v>2549.8053485</v>
      </c>
      <c r="AG82" s="153">
        <f t="shared" ca="1" si="27"/>
        <v>9364.1601423662505</v>
      </c>
    </row>
    <row r="83" spans="1:34" s="63" customFormat="1" ht="12.75" customHeight="1" x14ac:dyDescent="0.35">
      <c r="A83" s="38" t="s">
        <v>243</v>
      </c>
      <c r="B83" s="46" t="s">
        <v>771</v>
      </c>
      <c r="C83" s="22" t="s">
        <v>244</v>
      </c>
      <c r="D83" s="75">
        <f t="shared" si="17"/>
        <v>45967</v>
      </c>
      <c r="E83" s="75" t="s">
        <v>557</v>
      </c>
      <c r="F83" s="74">
        <f t="shared" si="18"/>
        <v>46332</v>
      </c>
      <c r="G83" s="228"/>
      <c r="H83" s="19">
        <v>7.5</v>
      </c>
      <c r="I83" s="71" t="s">
        <v>19</v>
      </c>
      <c r="J83" s="2" t="s">
        <v>4</v>
      </c>
      <c r="K83" s="2" t="s">
        <v>749</v>
      </c>
      <c r="L83" s="2" t="s">
        <v>5</v>
      </c>
      <c r="M83" s="67">
        <v>0.45</v>
      </c>
      <c r="N83" s="67"/>
      <c r="O83" s="87" t="s">
        <v>928</v>
      </c>
      <c r="P83" s="137" t="s">
        <v>929</v>
      </c>
      <c r="Q83" s="46" t="s">
        <v>771</v>
      </c>
      <c r="R83" t="b">
        <f t="shared" si="16"/>
        <v>1</v>
      </c>
      <c r="S83" t="b">
        <f t="shared" si="19"/>
        <v>1</v>
      </c>
      <c r="T83" t="b">
        <f t="shared" si="20"/>
        <v>1</v>
      </c>
      <c r="U83" s="46" t="s">
        <v>771</v>
      </c>
      <c r="V83" s="225" t="str">
        <f t="shared" si="21"/>
        <v>GFHSUK 7.5 06/11/2029</v>
      </c>
      <c r="W83" s="67">
        <f t="shared" si="28"/>
        <v>1.1250000000000001E-2</v>
      </c>
      <c r="X83" s="151">
        <f t="shared" si="22"/>
        <v>2250.0000000000005</v>
      </c>
      <c r="Y83" s="152">
        <f ca="1">((Main!$C$4-D83)*(200000*(H83/100))/360)*0.025</f>
        <v>108.33333333333333</v>
      </c>
      <c r="Z83" s="152">
        <f t="shared" ca="1" si="23"/>
        <v>2358.3333333333339</v>
      </c>
      <c r="AA83" s="153">
        <f t="shared" ca="1" si="24"/>
        <v>8660.9791666666679</v>
      </c>
      <c r="AC83" s="67">
        <f t="shared" si="29"/>
        <v>1.1596500000000001E-2</v>
      </c>
      <c r="AD83" s="151">
        <f t="shared" si="25"/>
        <v>2319.3000000000002</v>
      </c>
      <c r="AE83">
        <f ca="1">((Main!$C$4-D83)*(200000*(H83/100))/360)*0.02577</f>
        <v>111.67</v>
      </c>
      <c r="AF83" s="152">
        <f t="shared" ca="1" si="26"/>
        <v>2430.9700000000003</v>
      </c>
      <c r="AG83" s="153">
        <f t="shared" ca="1" si="27"/>
        <v>8927.7373250000001</v>
      </c>
      <c r="AH83"/>
    </row>
    <row r="84" spans="1:34" ht="13" customHeight="1" x14ac:dyDescent="0.35">
      <c r="A84" s="58" t="s">
        <v>190</v>
      </c>
      <c r="B84" s="57" t="s">
        <v>774</v>
      </c>
      <c r="C84" s="26" t="s">
        <v>191</v>
      </c>
      <c r="D84" s="75">
        <f t="shared" si="17"/>
        <v>45960</v>
      </c>
      <c r="E84" s="75" t="s">
        <v>562</v>
      </c>
      <c r="F84" s="74">
        <f t="shared" si="18"/>
        <v>46325</v>
      </c>
      <c r="G84" s="228"/>
      <c r="H84" s="59">
        <v>5</v>
      </c>
      <c r="I84" s="71" t="s">
        <v>19</v>
      </c>
      <c r="J84" s="60" t="s">
        <v>8</v>
      </c>
      <c r="K84" s="60" t="s">
        <v>741</v>
      </c>
      <c r="L84" s="60" t="s">
        <v>5</v>
      </c>
      <c r="M84" s="67">
        <v>0</v>
      </c>
      <c r="N84" s="67"/>
      <c r="O84" s="144" t="s">
        <v>933</v>
      </c>
      <c r="P84" s="145" t="s">
        <v>927</v>
      </c>
      <c r="Q84" s="57" t="s">
        <v>994</v>
      </c>
      <c r="R84" t="b">
        <f t="shared" si="16"/>
        <v>0</v>
      </c>
      <c r="S84" t="b">
        <f t="shared" si="19"/>
        <v>1</v>
      </c>
      <c r="T84" t="b">
        <f t="shared" si="20"/>
        <v>1</v>
      </c>
      <c r="U84" s="57" t="s">
        <v>774</v>
      </c>
      <c r="V84" s="225" t="str">
        <f t="shared" si="21"/>
        <v>DUBAI DOF SUKUK-5-04/29</v>
      </c>
      <c r="W84" s="67">
        <f t="shared" si="28"/>
        <v>0</v>
      </c>
      <c r="X84" s="151">
        <f t="shared" si="22"/>
        <v>0</v>
      </c>
      <c r="Y84" s="152">
        <f ca="1">((Main!$C$4-D84)*(200000*(H84/100))/360)*0.025</f>
        <v>77.083333333333343</v>
      </c>
      <c r="Z84" s="152">
        <f t="shared" ca="1" si="23"/>
        <v>77.083333333333343</v>
      </c>
      <c r="AA84" s="153">
        <f t="shared" ca="1" si="24"/>
        <v>283.08854166666669</v>
      </c>
      <c r="AC84" s="67">
        <f t="shared" si="29"/>
        <v>0</v>
      </c>
      <c r="AD84" s="151">
        <f t="shared" si="25"/>
        <v>0</v>
      </c>
      <c r="AE84">
        <f ca="1">((Main!$C$4-D84)*(200000*(H84/100))/360)*0.02577</f>
        <v>79.45750000000001</v>
      </c>
      <c r="AF84" s="152">
        <f t="shared" ca="1" si="26"/>
        <v>79.45750000000001</v>
      </c>
      <c r="AG84" s="153">
        <f t="shared" ca="1" si="27"/>
        <v>291.80766875</v>
      </c>
    </row>
    <row r="85" spans="1:34" ht="12.75" customHeight="1" x14ac:dyDescent="0.35">
      <c r="A85" s="38" t="s">
        <v>192</v>
      </c>
      <c r="B85" s="46" t="s">
        <v>775</v>
      </c>
      <c r="C85" s="22" t="s">
        <v>193</v>
      </c>
      <c r="D85" s="75">
        <f t="shared" si="17"/>
        <v>45909</v>
      </c>
      <c r="E85" s="75" t="s">
        <v>565</v>
      </c>
      <c r="F85" s="74">
        <f t="shared" si="18"/>
        <v>46274</v>
      </c>
      <c r="G85" s="228"/>
      <c r="H85" s="19">
        <v>2.7629999999999999</v>
      </c>
      <c r="I85" s="71" t="s">
        <v>19</v>
      </c>
      <c r="J85" s="2" t="s">
        <v>8</v>
      </c>
      <c r="K85" s="60" t="s">
        <v>741</v>
      </c>
      <c r="L85" s="2" t="s">
        <v>5</v>
      </c>
      <c r="M85" s="67">
        <v>0</v>
      </c>
      <c r="N85" s="67"/>
      <c r="O85" s="87" t="s">
        <v>933</v>
      </c>
      <c r="P85" s="137" t="s">
        <v>927</v>
      </c>
      <c r="Q85" s="46" t="s">
        <v>994</v>
      </c>
      <c r="R85" t="b">
        <f t="shared" si="16"/>
        <v>0</v>
      </c>
      <c r="S85" t="b">
        <f t="shared" si="19"/>
        <v>1</v>
      </c>
      <c r="T85" t="b">
        <f t="shared" si="20"/>
        <v>1</v>
      </c>
      <c r="U85" s="46" t="s">
        <v>775</v>
      </c>
      <c r="V85" s="225" t="str">
        <f t="shared" si="21"/>
        <v>DUGB - 2.763-09/09/30</v>
      </c>
      <c r="W85" s="67">
        <f t="shared" si="28"/>
        <v>0</v>
      </c>
      <c r="X85" s="151">
        <f t="shared" si="22"/>
        <v>0</v>
      </c>
      <c r="Y85" s="152">
        <f ca="1">((Main!$C$4-D85)*(200000*(H85/100))/360)*0.025</f>
        <v>62.167499999999997</v>
      </c>
      <c r="Z85" s="152">
        <f t="shared" ca="1" si="23"/>
        <v>62.167499999999997</v>
      </c>
      <c r="AA85" s="153">
        <f t="shared" ca="1" si="24"/>
        <v>228.31014374999998</v>
      </c>
      <c r="AC85" s="67">
        <f t="shared" si="29"/>
        <v>0</v>
      </c>
      <c r="AD85" s="151">
        <f t="shared" si="25"/>
        <v>0</v>
      </c>
      <c r="AE85">
        <f ca="1">((Main!$C$4-D85)*(200000*(H85/100))/360)*0.02577</f>
        <v>64.082258999999993</v>
      </c>
      <c r="AF85" s="152">
        <f t="shared" ca="1" si="26"/>
        <v>64.082258999999993</v>
      </c>
      <c r="AG85" s="153">
        <f t="shared" ca="1" si="27"/>
        <v>235.34209617749997</v>
      </c>
    </row>
    <row r="86" spans="1:34" ht="12.75" customHeight="1" x14ac:dyDescent="0.35">
      <c r="A86" s="41" t="s">
        <v>246</v>
      </c>
      <c r="B86" s="52" t="s">
        <v>245</v>
      </c>
      <c r="C86" s="42" t="s">
        <v>247</v>
      </c>
      <c r="D86" s="75">
        <f t="shared" si="17"/>
        <v>45897</v>
      </c>
      <c r="E86" s="75" t="s">
        <v>588</v>
      </c>
      <c r="F86" s="74">
        <f t="shared" si="18"/>
        <v>46262</v>
      </c>
      <c r="G86" s="228"/>
      <c r="H86" s="19">
        <v>3.1320000000000001</v>
      </c>
      <c r="I86" s="71" t="s">
        <v>19</v>
      </c>
      <c r="J86" s="60" t="s">
        <v>943</v>
      </c>
      <c r="K86" s="43" t="s">
        <v>754</v>
      </c>
      <c r="L86" s="43" t="s">
        <v>248</v>
      </c>
      <c r="M86" s="67">
        <v>0.66</v>
      </c>
      <c r="N86" s="67"/>
      <c r="O86" s="87" t="s">
        <v>944</v>
      </c>
      <c r="P86" s="141" t="s">
        <v>945</v>
      </c>
      <c r="Q86" s="52" t="s">
        <v>245</v>
      </c>
      <c r="R86" t="b">
        <f t="shared" si="16"/>
        <v>1</v>
      </c>
      <c r="S86" t="b">
        <f t="shared" si="19"/>
        <v>1</v>
      </c>
      <c r="T86" t="b">
        <f t="shared" si="20"/>
        <v>1</v>
      </c>
      <c r="U86" s="52" t="s">
        <v>245</v>
      </c>
      <c r="V86" s="225" t="str">
        <f t="shared" si="21"/>
        <v>HKINTL 3.132 02/28/27</v>
      </c>
      <c r="W86" s="67">
        <f t="shared" si="28"/>
        <v>1.6500000000000001E-2</v>
      </c>
      <c r="X86" s="151">
        <f t="shared" si="22"/>
        <v>3300</v>
      </c>
      <c r="Y86" s="152">
        <f ca="1">((Main!$C$4-D86)*(200000*(H86/100))/360)*0.025</f>
        <v>75.69</v>
      </c>
      <c r="Z86" s="152">
        <f t="shared" ca="1" si="23"/>
        <v>3375.69</v>
      </c>
      <c r="AA86" s="153">
        <f t="shared" ca="1" si="24"/>
        <v>12397.221524999999</v>
      </c>
      <c r="AC86" s="67">
        <f t="shared" si="29"/>
        <v>1.7008200000000001E-2</v>
      </c>
      <c r="AD86" s="151">
        <f t="shared" si="25"/>
        <v>3401.6400000000003</v>
      </c>
      <c r="AE86">
        <f ca="1">((Main!$C$4-D86)*(200000*(H86/100))/360)*0.02577</f>
        <v>78.021252000000004</v>
      </c>
      <c r="AF86" s="152">
        <f t="shared" ca="1" si="26"/>
        <v>3479.6612520000003</v>
      </c>
      <c r="AG86" s="153">
        <f t="shared" ca="1" si="27"/>
        <v>12779.05594797</v>
      </c>
    </row>
    <row r="87" spans="1:34" ht="12.75" customHeight="1" x14ac:dyDescent="0.35">
      <c r="A87" s="38" t="s">
        <v>250</v>
      </c>
      <c r="B87" s="46" t="s">
        <v>249</v>
      </c>
      <c r="C87" s="22" t="s">
        <v>251</v>
      </c>
      <c r="D87" s="75">
        <f t="shared" si="17"/>
        <v>46054</v>
      </c>
      <c r="E87" s="75" t="s">
        <v>619</v>
      </c>
      <c r="F87" s="74">
        <f t="shared" si="18"/>
        <v>46419</v>
      </c>
      <c r="G87" s="228"/>
      <c r="H87" s="19">
        <v>5</v>
      </c>
      <c r="I87" s="71" t="s">
        <v>19</v>
      </c>
      <c r="J87" s="27" t="s">
        <v>4</v>
      </c>
      <c r="K87" s="2" t="s">
        <v>749</v>
      </c>
      <c r="L87" s="27" t="s">
        <v>252</v>
      </c>
      <c r="M87" s="67">
        <v>0.45</v>
      </c>
      <c r="N87" s="67"/>
      <c r="O87" s="87" t="s">
        <v>928</v>
      </c>
      <c r="P87" s="137" t="s">
        <v>929</v>
      </c>
      <c r="Q87" s="46" t="s">
        <v>249</v>
      </c>
      <c r="R87" t="b">
        <f t="shared" si="16"/>
        <v>1</v>
      </c>
      <c r="S87" t="b">
        <f t="shared" si="19"/>
        <v>1</v>
      </c>
      <c r="T87" t="b">
        <f t="shared" si="20"/>
        <v>1</v>
      </c>
      <c r="U87" s="46" t="s">
        <v>249</v>
      </c>
      <c r="V87" s="225" t="str">
        <f t="shared" si="21"/>
        <v>ICD SUKUK 5 - 02/2027</v>
      </c>
      <c r="W87" s="67">
        <f t="shared" si="28"/>
        <v>1.1250000000000001E-2</v>
      </c>
      <c r="X87" s="151">
        <f t="shared" si="22"/>
        <v>2250.0000000000005</v>
      </c>
      <c r="Y87" s="152">
        <f ca="1">((Main!$C$4-D87)*(200000*(H87/100))/360)*0.025</f>
        <v>11.805555555555557</v>
      </c>
      <c r="Z87" s="152">
        <f t="shared" ca="1" si="23"/>
        <v>2261.8055555555561</v>
      </c>
      <c r="AA87" s="153">
        <f t="shared" ca="1" si="24"/>
        <v>8306.4809027777792</v>
      </c>
      <c r="AC87" s="67">
        <f t="shared" si="29"/>
        <v>1.1596500000000001E-2</v>
      </c>
      <c r="AD87" s="151">
        <f t="shared" si="25"/>
        <v>2319.3000000000002</v>
      </c>
      <c r="AE87">
        <f ca="1">((Main!$C$4-D87)*(200000*(H87/100))/360)*0.02577</f>
        <v>12.169166666666667</v>
      </c>
      <c r="AF87" s="152">
        <f t="shared" ca="1" si="26"/>
        <v>2331.4691666666668</v>
      </c>
      <c r="AG87" s="153">
        <f t="shared" ca="1" si="27"/>
        <v>8562.3205145833326</v>
      </c>
    </row>
    <row r="88" spans="1:34" ht="12.75" customHeight="1" x14ac:dyDescent="0.35">
      <c r="A88" s="38" t="s">
        <v>404</v>
      </c>
      <c r="B88" s="46" t="s">
        <v>16</v>
      </c>
      <c r="C88" s="22" t="s">
        <v>405</v>
      </c>
      <c r="D88" s="75">
        <f t="shared" si="17"/>
        <v>46053</v>
      </c>
      <c r="E88" s="75" t="s">
        <v>620</v>
      </c>
      <c r="F88" s="74">
        <f t="shared" si="18"/>
        <v>46418</v>
      </c>
      <c r="G88" s="228"/>
      <c r="H88" s="19">
        <v>7.95</v>
      </c>
      <c r="I88" s="71" t="s">
        <v>19</v>
      </c>
      <c r="J88" s="2" t="s">
        <v>8</v>
      </c>
      <c r="K88" s="60" t="s">
        <v>742</v>
      </c>
      <c r="L88" s="2" t="s">
        <v>17</v>
      </c>
      <c r="M88" s="67">
        <v>0</v>
      </c>
      <c r="N88" s="67"/>
      <c r="O88" s="142" t="s">
        <v>933</v>
      </c>
      <c r="P88" s="143" t="s">
        <v>927</v>
      </c>
      <c r="Q88" s="46" t="s">
        <v>16</v>
      </c>
      <c r="R88" t="b">
        <f t="shared" si="16"/>
        <v>1</v>
      </c>
      <c r="S88" t="b">
        <f t="shared" si="19"/>
        <v>1</v>
      </c>
      <c r="T88" t="b">
        <f t="shared" si="20"/>
        <v>1</v>
      </c>
      <c r="U88" s="46" t="s">
        <v>16</v>
      </c>
      <c r="V88" s="225" t="str">
        <f t="shared" si="21"/>
        <v>PKSTAN 7.95 31/01/29</v>
      </c>
      <c r="W88" s="67">
        <f t="shared" si="28"/>
        <v>0</v>
      </c>
      <c r="X88" s="151">
        <f t="shared" si="22"/>
        <v>0</v>
      </c>
      <c r="Y88" s="152">
        <f ca="1">((Main!$C$4-D88)*(200000*(H88/100))/360)*0.025</f>
        <v>19.875</v>
      </c>
      <c r="Z88" s="152">
        <f t="shared" ca="1" si="23"/>
        <v>19.875</v>
      </c>
      <c r="AA88" s="153">
        <f t="shared" ca="1" si="24"/>
        <v>72.990937500000001</v>
      </c>
      <c r="AC88" s="67">
        <f t="shared" si="29"/>
        <v>0</v>
      </c>
      <c r="AD88" s="151">
        <f t="shared" si="25"/>
        <v>0</v>
      </c>
      <c r="AE88">
        <f ca="1">((Main!$C$4-D88)*(200000*(H88/100))/360)*0.02577</f>
        <v>20.48715</v>
      </c>
      <c r="AF88" s="152">
        <f t="shared" ca="1" si="26"/>
        <v>20.48715</v>
      </c>
      <c r="AG88" s="153">
        <f t="shared" ca="1" si="27"/>
        <v>75.239058374999999</v>
      </c>
    </row>
    <row r="89" spans="1:34" ht="12.75" customHeight="1" x14ac:dyDescent="0.35">
      <c r="A89" s="38" t="s">
        <v>305</v>
      </c>
      <c r="B89" s="46" t="s">
        <v>304</v>
      </c>
      <c r="C89" s="22" t="s">
        <v>306</v>
      </c>
      <c r="D89" s="75">
        <f t="shared" si="17"/>
        <v>45974</v>
      </c>
      <c r="E89" s="75" t="s">
        <v>585</v>
      </c>
      <c r="F89" s="74">
        <f t="shared" si="18"/>
        <v>46339</v>
      </c>
      <c r="G89" s="228"/>
      <c r="H89" s="19">
        <v>7.375</v>
      </c>
      <c r="I89" s="71" t="s">
        <v>19</v>
      </c>
      <c r="J89" s="2" t="s">
        <v>4</v>
      </c>
      <c r="K89" s="2" t="s">
        <v>749</v>
      </c>
      <c r="L89" s="2" t="s">
        <v>307</v>
      </c>
      <c r="M89" s="67">
        <v>0.45</v>
      </c>
      <c r="N89" s="67"/>
      <c r="O89" s="87" t="s">
        <v>928</v>
      </c>
      <c r="P89" s="137" t="s">
        <v>929</v>
      </c>
      <c r="Q89" s="46" t="s">
        <v>304</v>
      </c>
      <c r="R89" t="b">
        <f t="shared" si="16"/>
        <v>1</v>
      </c>
      <c r="S89" t="b">
        <f t="shared" si="19"/>
        <v>1</v>
      </c>
      <c r="T89" t="b">
        <f t="shared" si="20"/>
        <v>1</v>
      </c>
      <c r="U89" s="46" t="s">
        <v>304</v>
      </c>
      <c r="V89" s="225" t="str">
        <f t="shared" si="21"/>
        <v>ITTHAD 7.375 13/11/30</v>
      </c>
      <c r="W89" s="67">
        <f t="shared" si="28"/>
        <v>1.1250000000000001E-2</v>
      </c>
      <c r="X89" s="151">
        <f t="shared" si="22"/>
        <v>2250.0000000000005</v>
      </c>
      <c r="Y89" s="152">
        <f ca="1">((Main!$C$4-D89)*(200000*(H89/100))/360)*0.025</f>
        <v>99.3576388888889</v>
      </c>
      <c r="Z89" s="152">
        <f t="shared" ca="1" si="23"/>
        <v>2349.3576388888891</v>
      </c>
      <c r="AA89" s="153">
        <f t="shared" ca="1" si="24"/>
        <v>8628.0159288194445</v>
      </c>
      <c r="AC89" s="67">
        <f t="shared" si="29"/>
        <v>1.1596500000000001E-2</v>
      </c>
      <c r="AD89" s="151">
        <f t="shared" si="25"/>
        <v>2319.3000000000002</v>
      </c>
      <c r="AE89">
        <f ca="1">((Main!$C$4-D89)*(200000*(H89/100))/360)*0.02577</f>
        <v>102.41785416666667</v>
      </c>
      <c r="AF89" s="152">
        <f t="shared" ca="1" si="26"/>
        <v>2421.7178541666667</v>
      </c>
      <c r="AG89" s="153">
        <f t="shared" ca="1" si="27"/>
        <v>8893.7588194270829</v>
      </c>
    </row>
    <row r="90" spans="1:34" ht="12.75" customHeight="1" x14ac:dyDescent="0.35">
      <c r="A90" s="38" t="s">
        <v>111</v>
      </c>
      <c r="B90" s="46" t="s">
        <v>776</v>
      </c>
      <c r="C90" s="22" t="s">
        <v>112</v>
      </c>
      <c r="D90" s="75">
        <f t="shared" si="17"/>
        <v>45979</v>
      </c>
      <c r="E90" s="75" t="s">
        <v>621</v>
      </c>
      <c r="F90" s="74">
        <f t="shared" si="18"/>
        <v>46344</v>
      </c>
      <c r="G90" s="228"/>
      <c r="H90" s="19">
        <v>3.875</v>
      </c>
      <c r="I90" s="71" t="s">
        <v>19</v>
      </c>
      <c r="J90" s="2" t="s">
        <v>4</v>
      </c>
      <c r="K90" s="2" t="s">
        <v>749</v>
      </c>
      <c r="L90" s="2" t="s">
        <v>5</v>
      </c>
      <c r="M90" s="67">
        <v>0.45</v>
      </c>
      <c r="N90" s="67"/>
      <c r="O90" s="87" t="s">
        <v>928</v>
      </c>
      <c r="P90" s="137" t="s">
        <v>929</v>
      </c>
      <c r="Q90" s="46" t="s">
        <v>995</v>
      </c>
      <c r="R90" t="b">
        <f t="shared" si="16"/>
        <v>0</v>
      </c>
      <c r="S90" t="b">
        <f t="shared" si="19"/>
        <v>1</v>
      </c>
      <c r="T90" t="b">
        <f t="shared" si="20"/>
        <v>1</v>
      </c>
      <c r="U90" s="46" t="s">
        <v>776</v>
      </c>
      <c r="V90" s="225" t="str">
        <f t="shared" si="21"/>
        <v>BHRAIN 3.875 18-MAY-2029</v>
      </c>
      <c r="W90" s="67">
        <f t="shared" si="28"/>
        <v>1.1250000000000001E-2</v>
      </c>
      <c r="X90" s="151">
        <f t="shared" si="22"/>
        <v>2250.0000000000005</v>
      </c>
      <c r="Y90" s="152">
        <f ca="1">((Main!$C$4-D90)*(200000*(H90/100))/360)*0.025</f>
        <v>49.513888888888893</v>
      </c>
      <c r="Z90" s="152">
        <f t="shared" ca="1" si="23"/>
        <v>2299.5138888888891</v>
      </c>
      <c r="AA90" s="153">
        <f t="shared" ca="1" si="24"/>
        <v>8444.964756944446</v>
      </c>
      <c r="AC90" s="67">
        <f t="shared" si="29"/>
        <v>1.1596500000000001E-2</v>
      </c>
      <c r="AD90" s="151">
        <f t="shared" si="25"/>
        <v>2319.3000000000002</v>
      </c>
      <c r="AE90">
        <f ca="1">((Main!$C$4-D90)*(200000*(H90/100))/360)*0.02577</f>
        <v>51.038916666666672</v>
      </c>
      <c r="AF90" s="152">
        <f t="shared" ca="1" si="26"/>
        <v>2370.338916666667</v>
      </c>
      <c r="AG90" s="153">
        <f t="shared" ca="1" si="27"/>
        <v>8705.0696714583337</v>
      </c>
    </row>
    <row r="91" spans="1:34" ht="12.75" customHeight="1" x14ac:dyDescent="0.35">
      <c r="A91" s="38" t="s">
        <v>113</v>
      </c>
      <c r="B91" s="46" t="s">
        <v>777</v>
      </c>
      <c r="C91" s="22" t="s">
        <v>114</v>
      </c>
      <c r="D91" s="75">
        <f t="shared" si="17"/>
        <v>45916</v>
      </c>
      <c r="E91" s="75" t="s">
        <v>622</v>
      </c>
      <c r="F91" s="74">
        <f t="shared" si="18"/>
        <v>46281</v>
      </c>
      <c r="G91" s="228"/>
      <c r="H91" s="19">
        <v>3.95</v>
      </c>
      <c r="I91" s="71" t="s">
        <v>19</v>
      </c>
      <c r="J91" s="2" t="s">
        <v>4</v>
      </c>
      <c r="K91" s="2" t="s">
        <v>749</v>
      </c>
      <c r="L91" s="2" t="s">
        <v>5</v>
      </c>
      <c r="M91" s="67">
        <v>0.45</v>
      </c>
      <c r="N91" s="67"/>
      <c r="O91" s="87" t="s">
        <v>928</v>
      </c>
      <c r="P91" s="137" t="s">
        <v>929</v>
      </c>
      <c r="Q91" s="46" t="s">
        <v>995</v>
      </c>
      <c r="R91" t="b">
        <f t="shared" ref="R91:R154" si="30">Q91=B91</f>
        <v>0</v>
      </c>
      <c r="S91" t="b">
        <f t="shared" si="19"/>
        <v>1</v>
      </c>
      <c r="T91" t="b">
        <f t="shared" si="20"/>
        <v>1</v>
      </c>
      <c r="U91" s="46" t="s">
        <v>777</v>
      </c>
      <c r="V91" s="225" t="str">
        <f t="shared" si="21"/>
        <v>BHRAIN 3.95   16/09/27</v>
      </c>
      <c r="W91" s="67">
        <f t="shared" si="28"/>
        <v>1.1250000000000001E-2</v>
      </c>
      <c r="X91" s="151">
        <f t="shared" si="22"/>
        <v>2250.0000000000005</v>
      </c>
      <c r="Y91" s="152">
        <f ca="1">((Main!$C$4-D91)*(200000*(H91/100))/360)*0.025</f>
        <v>85.034722222222229</v>
      </c>
      <c r="Z91" s="152">
        <f t="shared" ca="1" si="23"/>
        <v>2335.0347222222226</v>
      </c>
      <c r="AA91" s="153">
        <f t="shared" ca="1" si="24"/>
        <v>8575.4150173611124</v>
      </c>
      <c r="AC91" s="67">
        <f t="shared" si="29"/>
        <v>1.1596500000000001E-2</v>
      </c>
      <c r="AD91" s="151">
        <f t="shared" si="25"/>
        <v>2319.3000000000002</v>
      </c>
      <c r="AE91">
        <f ca="1">((Main!$C$4-D91)*(200000*(H91/100))/360)*0.02577</f>
        <v>87.653791666666663</v>
      </c>
      <c r="AF91" s="152">
        <f t="shared" ca="1" si="26"/>
        <v>2406.9537916666668</v>
      </c>
      <c r="AG91" s="153">
        <f t="shared" ca="1" si="27"/>
        <v>8839.5377998958338</v>
      </c>
    </row>
    <row r="92" spans="1:34" ht="12.75" customHeight="1" x14ac:dyDescent="0.35">
      <c r="A92" s="38" t="s">
        <v>115</v>
      </c>
      <c r="B92" s="46" t="s">
        <v>778</v>
      </c>
      <c r="C92" s="22" t="s">
        <v>116</v>
      </c>
      <c r="D92" s="75">
        <f t="shared" si="17"/>
        <v>45930</v>
      </c>
      <c r="E92" s="75" t="s">
        <v>623</v>
      </c>
      <c r="F92" s="74">
        <f t="shared" si="18"/>
        <v>46295</v>
      </c>
      <c r="G92" s="228"/>
      <c r="H92" s="19">
        <v>4.5</v>
      </c>
      <c r="I92" s="71" t="s">
        <v>19</v>
      </c>
      <c r="J92" s="2" t="s">
        <v>4</v>
      </c>
      <c r="K92" s="2" t="s">
        <v>749</v>
      </c>
      <c r="L92" s="2" t="s">
        <v>5</v>
      </c>
      <c r="M92" s="67">
        <v>0.45</v>
      </c>
      <c r="N92" s="67"/>
      <c r="O92" s="87" t="s">
        <v>928</v>
      </c>
      <c r="P92" s="137" t="s">
        <v>929</v>
      </c>
      <c r="Q92" s="46" t="s">
        <v>995</v>
      </c>
      <c r="R92" t="b">
        <f t="shared" si="30"/>
        <v>0</v>
      </c>
      <c r="S92" t="b">
        <f t="shared" si="19"/>
        <v>1</v>
      </c>
      <c r="T92" t="b">
        <f t="shared" si="20"/>
        <v>1</v>
      </c>
      <c r="U92" s="46" t="s">
        <v>778</v>
      </c>
      <c r="V92" s="225" t="str">
        <f t="shared" si="21"/>
        <v>BHRAIN 4.5 - 03/27</v>
      </c>
      <c r="W92" s="67">
        <f t="shared" si="28"/>
        <v>1.1250000000000001E-2</v>
      </c>
      <c r="X92" s="151">
        <f t="shared" si="22"/>
        <v>2250.0000000000005</v>
      </c>
      <c r="Y92" s="152">
        <f ca="1">((Main!$C$4-D92)*(200000*(H92/100))/360)*0.025</f>
        <v>88.125</v>
      </c>
      <c r="Z92" s="152">
        <f t="shared" ca="1" si="23"/>
        <v>2338.1250000000005</v>
      </c>
      <c r="AA92" s="153">
        <f t="shared" ca="1" si="24"/>
        <v>8586.7640625000022</v>
      </c>
      <c r="AC92" s="67">
        <f t="shared" si="29"/>
        <v>1.1596500000000001E-2</v>
      </c>
      <c r="AD92" s="151">
        <f t="shared" si="25"/>
        <v>2319.3000000000002</v>
      </c>
      <c r="AE92">
        <f ca="1">((Main!$C$4-D92)*(200000*(H92/100))/360)*0.02577</f>
        <v>90.839250000000007</v>
      </c>
      <c r="AF92" s="152">
        <f t="shared" ca="1" si="26"/>
        <v>2410.1392500000002</v>
      </c>
      <c r="AG92" s="153">
        <f t="shared" ca="1" si="27"/>
        <v>8851.236395625001</v>
      </c>
    </row>
    <row r="93" spans="1:34" ht="12.75" customHeight="1" x14ac:dyDescent="0.35">
      <c r="A93" s="38" t="s">
        <v>117</v>
      </c>
      <c r="B93" s="46" t="s">
        <v>779</v>
      </c>
      <c r="C93" s="22" t="s">
        <v>118</v>
      </c>
      <c r="D93" s="75">
        <f t="shared" si="17"/>
        <v>45996</v>
      </c>
      <c r="E93" s="75" t="s">
        <v>624</v>
      </c>
      <c r="F93" s="74">
        <f t="shared" si="18"/>
        <v>46361</v>
      </c>
      <c r="G93" s="228"/>
      <c r="H93" s="19">
        <v>5.875</v>
      </c>
      <c r="I93" s="71" t="s">
        <v>19</v>
      </c>
      <c r="J93" s="2" t="s">
        <v>4</v>
      </c>
      <c r="K93" s="2" t="s">
        <v>749</v>
      </c>
      <c r="L93" s="2" t="s">
        <v>5</v>
      </c>
      <c r="M93" s="67">
        <v>0.45</v>
      </c>
      <c r="N93" s="67"/>
      <c r="O93" s="87" t="s">
        <v>928</v>
      </c>
      <c r="P93" s="137" t="s">
        <v>929</v>
      </c>
      <c r="Q93" s="46" t="s">
        <v>995</v>
      </c>
      <c r="R93" t="b">
        <f t="shared" si="30"/>
        <v>0</v>
      </c>
      <c r="S93" t="b">
        <f t="shared" si="19"/>
        <v>1</v>
      </c>
      <c r="T93" t="b">
        <f t="shared" si="20"/>
        <v>1</v>
      </c>
      <c r="U93" s="46" t="s">
        <v>779</v>
      </c>
      <c r="V93" s="225" t="str">
        <f t="shared" si="21"/>
        <v>BHRAIN 5.875 05/06/2032</v>
      </c>
      <c r="W93" s="67">
        <f t="shared" si="28"/>
        <v>1.1250000000000001E-2</v>
      </c>
      <c r="X93" s="151">
        <f t="shared" si="22"/>
        <v>2250.0000000000005</v>
      </c>
      <c r="Y93" s="152">
        <f ca="1">((Main!$C$4-D93)*(200000*(H93/100))/360)*0.025</f>
        <v>61.197916666666664</v>
      </c>
      <c r="Z93" s="152">
        <f t="shared" ca="1" si="23"/>
        <v>2311.197916666667</v>
      </c>
      <c r="AA93" s="153">
        <f t="shared" ca="1" si="24"/>
        <v>8487.8743489583339</v>
      </c>
      <c r="AC93" s="67">
        <f t="shared" si="29"/>
        <v>1.1596500000000001E-2</v>
      </c>
      <c r="AD93" s="151">
        <f t="shared" si="25"/>
        <v>2319.3000000000002</v>
      </c>
      <c r="AE93">
        <f ca="1">((Main!$C$4-D93)*(200000*(H93/100))/360)*0.02577</f>
        <v>63.082812499999996</v>
      </c>
      <c r="AF93" s="152">
        <f t="shared" ca="1" si="26"/>
        <v>2382.3828125</v>
      </c>
      <c r="AG93" s="153">
        <f t="shared" ca="1" si="27"/>
        <v>8749.3008789062496</v>
      </c>
    </row>
    <row r="94" spans="1:34" ht="12.75" customHeight="1" x14ac:dyDescent="0.35">
      <c r="A94" s="38" t="s">
        <v>119</v>
      </c>
      <c r="B94" s="46" t="s">
        <v>780</v>
      </c>
      <c r="C94" s="22" t="s">
        <v>120</v>
      </c>
      <c r="D94" s="75">
        <f t="shared" si="17"/>
        <v>45881</v>
      </c>
      <c r="E94" s="75" t="s">
        <v>625</v>
      </c>
      <c r="F94" s="74">
        <f t="shared" si="18"/>
        <v>46246</v>
      </c>
      <c r="G94" s="228"/>
      <c r="H94" s="19">
        <v>6</v>
      </c>
      <c r="I94" s="71" t="s">
        <v>19</v>
      </c>
      <c r="J94" s="2" t="s">
        <v>4</v>
      </c>
      <c r="K94" s="2" t="s">
        <v>749</v>
      </c>
      <c r="L94" s="2" t="s">
        <v>5</v>
      </c>
      <c r="M94" s="67">
        <v>0.45</v>
      </c>
      <c r="N94" s="67"/>
      <c r="O94" s="87" t="s">
        <v>928</v>
      </c>
      <c r="P94" s="137" t="s">
        <v>929</v>
      </c>
      <c r="Q94" s="46" t="s">
        <v>995</v>
      </c>
      <c r="R94" t="b">
        <f t="shared" si="30"/>
        <v>0</v>
      </c>
      <c r="S94" t="b">
        <f t="shared" si="19"/>
        <v>1</v>
      </c>
      <c r="T94" t="b">
        <f t="shared" si="20"/>
        <v>1</v>
      </c>
      <c r="U94" s="46" t="s">
        <v>780</v>
      </c>
      <c r="V94" s="225" t="str">
        <f t="shared" si="21"/>
        <v>BHRAIN 6 12/02/2031</v>
      </c>
      <c r="W94" s="67">
        <f t="shared" si="28"/>
        <v>1.1250000000000001E-2</v>
      </c>
      <c r="X94" s="151">
        <f t="shared" si="22"/>
        <v>2250.0000000000005</v>
      </c>
      <c r="Y94" s="152">
        <f ca="1">((Main!$C$4-D94)*(200000*(H94/100))/360)*0.025</f>
        <v>158.33333333333334</v>
      </c>
      <c r="Z94" s="152">
        <f t="shared" ca="1" si="23"/>
        <v>2408.3333333333339</v>
      </c>
      <c r="AA94" s="153">
        <f t="shared" ca="1" si="24"/>
        <v>8844.6041666666679</v>
      </c>
      <c r="AC94" s="67">
        <f t="shared" si="29"/>
        <v>1.1596500000000001E-2</v>
      </c>
      <c r="AD94" s="151">
        <f t="shared" si="25"/>
        <v>2319.3000000000002</v>
      </c>
      <c r="AE94">
        <f ca="1">((Main!$C$4-D94)*(200000*(H94/100))/360)*0.02577</f>
        <v>163.21</v>
      </c>
      <c r="AF94" s="152">
        <f t="shared" ca="1" si="26"/>
        <v>2482.5100000000002</v>
      </c>
      <c r="AG94" s="153">
        <f t="shared" ca="1" si="27"/>
        <v>9117.0179750000007</v>
      </c>
    </row>
    <row r="95" spans="1:34" ht="12.75" customHeight="1" x14ac:dyDescent="0.35">
      <c r="A95" s="38" t="s">
        <v>121</v>
      </c>
      <c r="B95" s="46" t="s">
        <v>781</v>
      </c>
      <c r="C95" s="22" t="s">
        <v>122</v>
      </c>
      <c r="D95" s="75">
        <f t="shared" si="17"/>
        <v>46029</v>
      </c>
      <c r="E95" s="75" t="s">
        <v>626</v>
      </c>
      <c r="F95" s="74">
        <f t="shared" si="18"/>
        <v>46394</v>
      </c>
      <c r="G95" s="228"/>
      <c r="H95" s="19">
        <v>6.25</v>
      </c>
      <c r="I95" s="71" t="s">
        <v>19</v>
      </c>
      <c r="J95" s="2" t="s">
        <v>4</v>
      </c>
      <c r="K95" s="2" t="s">
        <v>749</v>
      </c>
      <c r="L95" s="2" t="s">
        <v>5</v>
      </c>
      <c r="M95" s="67">
        <v>0.45</v>
      </c>
      <c r="N95" s="67"/>
      <c r="O95" s="87" t="s">
        <v>928</v>
      </c>
      <c r="P95" s="137" t="s">
        <v>929</v>
      </c>
      <c r="Q95" s="46" t="s">
        <v>995</v>
      </c>
      <c r="R95" t="b">
        <f t="shared" si="30"/>
        <v>0</v>
      </c>
      <c r="S95" t="b">
        <f t="shared" si="19"/>
        <v>1</v>
      </c>
      <c r="T95" t="b">
        <f t="shared" si="20"/>
        <v>1</v>
      </c>
      <c r="U95" s="46" t="s">
        <v>781</v>
      </c>
      <c r="V95" s="225" t="str">
        <f t="shared" si="21"/>
        <v>BHRAIN 6.25 07/07/33</v>
      </c>
      <c r="W95" s="67">
        <f t="shared" si="28"/>
        <v>1.1250000000000001E-2</v>
      </c>
      <c r="X95" s="151">
        <f t="shared" si="22"/>
        <v>2250.0000000000005</v>
      </c>
      <c r="Y95" s="152">
        <f ca="1">((Main!$C$4-D95)*(200000*(H95/100))/360)*0.025</f>
        <v>36.458333333333336</v>
      </c>
      <c r="Z95" s="152">
        <f t="shared" ca="1" si="23"/>
        <v>2286.4583333333339</v>
      </c>
      <c r="AA95" s="153">
        <f t="shared" ca="1" si="24"/>
        <v>8397.0182291666679</v>
      </c>
      <c r="AC95" s="67">
        <f t="shared" si="29"/>
        <v>1.1596500000000001E-2</v>
      </c>
      <c r="AD95" s="151">
        <f t="shared" si="25"/>
        <v>2319.3000000000002</v>
      </c>
      <c r="AE95">
        <f ca="1">((Main!$C$4-D95)*(200000*(H95/100))/360)*0.02577</f>
        <v>37.581249999999997</v>
      </c>
      <c r="AF95" s="152">
        <f t="shared" ca="1" si="26"/>
        <v>2356.8812500000004</v>
      </c>
      <c r="AG95" s="153">
        <f t="shared" ca="1" si="27"/>
        <v>8655.646390625001</v>
      </c>
    </row>
    <row r="96" spans="1:34" ht="12.75" customHeight="1" x14ac:dyDescent="0.35">
      <c r="A96" s="38" t="s">
        <v>123</v>
      </c>
      <c r="B96" s="46" t="s">
        <v>782</v>
      </c>
      <c r="C96" s="22" t="s">
        <v>124</v>
      </c>
      <c r="D96" s="75">
        <f t="shared" si="17"/>
        <v>45948</v>
      </c>
      <c r="E96" s="75" t="s">
        <v>627</v>
      </c>
      <c r="F96" s="74">
        <f t="shared" si="18"/>
        <v>46313</v>
      </c>
      <c r="G96" s="228"/>
      <c r="H96" s="19">
        <v>6.25</v>
      </c>
      <c r="I96" s="71" t="s">
        <v>19</v>
      </c>
      <c r="J96" s="2" t="s">
        <v>4</v>
      </c>
      <c r="K96" s="2" t="s">
        <v>749</v>
      </c>
      <c r="L96" s="2" t="s">
        <v>5</v>
      </c>
      <c r="M96" s="67">
        <v>0.45</v>
      </c>
      <c r="N96" s="67"/>
      <c r="O96" s="87" t="s">
        <v>928</v>
      </c>
      <c r="P96" s="137" t="s">
        <v>929</v>
      </c>
      <c r="Q96" s="46" t="s">
        <v>995</v>
      </c>
      <c r="R96" t="b">
        <f t="shared" si="30"/>
        <v>0</v>
      </c>
      <c r="S96" t="b">
        <f t="shared" si="19"/>
        <v>1</v>
      </c>
      <c r="T96" t="b">
        <f t="shared" si="20"/>
        <v>1</v>
      </c>
      <c r="U96" s="46" t="s">
        <v>782</v>
      </c>
      <c r="V96" s="225" t="str">
        <f t="shared" si="21"/>
        <v>BHRAIN6.25 18/10/2030</v>
      </c>
      <c r="W96" s="67">
        <f t="shared" si="28"/>
        <v>1.1250000000000001E-2</v>
      </c>
      <c r="X96" s="151">
        <f t="shared" si="22"/>
        <v>2250.0000000000005</v>
      </c>
      <c r="Y96" s="152">
        <f ca="1">((Main!$C$4-D96)*(200000*(H96/100))/360)*0.025</f>
        <v>106.77083333333333</v>
      </c>
      <c r="Z96" s="152">
        <f t="shared" ca="1" si="23"/>
        <v>2356.7708333333339</v>
      </c>
      <c r="AA96" s="153">
        <f t="shared" ca="1" si="24"/>
        <v>8655.2408854166679</v>
      </c>
      <c r="AC96" s="67">
        <f t="shared" si="29"/>
        <v>1.1596500000000001E-2</v>
      </c>
      <c r="AD96" s="151">
        <f t="shared" si="25"/>
        <v>2319.3000000000002</v>
      </c>
      <c r="AE96">
        <f ca="1">((Main!$C$4-D96)*(200000*(H96/100))/360)*0.02577</f>
        <v>110.059375</v>
      </c>
      <c r="AF96" s="152">
        <f t="shared" ca="1" si="26"/>
        <v>2429.359375</v>
      </c>
      <c r="AG96" s="153">
        <f t="shared" ca="1" si="27"/>
        <v>8921.8223046874991</v>
      </c>
    </row>
    <row r="97" spans="1:33" ht="12.75" customHeight="1" x14ac:dyDescent="0.35">
      <c r="A97" s="38" t="s">
        <v>125</v>
      </c>
      <c r="B97" s="46" t="s">
        <v>783</v>
      </c>
      <c r="C97" s="22" t="s">
        <v>126</v>
      </c>
      <c r="D97" s="75">
        <f t="shared" si="17"/>
        <v>45875</v>
      </c>
      <c r="E97" s="75" t="s">
        <v>628</v>
      </c>
      <c r="F97" s="74">
        <f t="shared" si="18"/>
        <v>46240</v>
      </c>
      <c r="G97" s="228"/>
      <c r="H97" s="19">
        <v>5.875</v>
      </c>
      <c r="I97" s="71" t="s">
        <v>19</v>
      </c>
      <c r="J97" s="2" t="s">
        <v>4</v>
      </c>
      <c r="K97" s="2" t="s">
        <v>749</v>
      </c>
      <c r="L97" s="2" t="s">
        <v>5</v>
      </c>
      <c r="M97" s="67">
        <v>0.45</v>
      </c>
      <c r="N97" s="67"/>
      <c r="O97" s="87" t="s">
        <v>928</v>
      </c>
      <c r="P97" s="137" t="s">
        <v>929</v>
      </c>
      <c r="Q97" s="46" t="s">
        <v>995</v>
      </c>
      <c r="R97" t="b">
        <f t="shared" si="30"/>
        <v>0</v>
      </c>
      <c r="S97" t="b">
        <f t="shared" si="19"/>
        <v>1</v>
      </c>
      <c r="T97" t="b">
        <f t="shared" si="20"/>
        <v>1</v>
      </c>
      <c r="U97" s="46" t="s">
        <v>783</v>
      </c>
      <c r="V97" s="225" t="str">
        <f t="shared" si="21"/>
        <v>BHRN 5.875-06/02/34</v>
      </c>
      <c r="W97" s="67">
        <f t="shared" si="28"/>
        <v>1.1250000000000001E-2</v>
      </c>
      <c r="X97" s="151">
        <f t="shared" si="22"/>
        <v>2250.0000000000005</v>
      </c>
      <c r="Y97" s="152">
        <f ca="1">((Main!$C$4-D97)*(200000*(H97/100))/360)*0.025</f>
        <v>159.93055555555557</v>
      </c>
      <c r="Z97" s="152">
        <f t="shared" ca="1" si="23"/>
        <v>2409.9305555555561</v>
      </c>
      <c r="AA97" s="153">
        <f t="shared" ca="1" si="24"/>
        <v>8850.4699652777799</v>
      </c>
      <c r="AC97" s="67">
        <f t="shared" si="29"/>
        <v>1.1596500000000001E-2</v>
      </c>
      <c r="AD97" s="151">
        <f t="shared" si="25"/>
        <v>2319.3000000000002</v>
      </c>
      <c r="AE97">
        <f ca="1">((Main!$C$4-D97)*(200000*(H97/100))/360)*0.02577</f>
        <v>164.85641666666669</v>
      </c>
      <c r="AF97" s="152">
        <f t="shared" ca="1" si="26"/>
        <v>2484.1564166666667</v>
      </c>
      <c r="AG97" s="153">
        <f t="shared" ca="1" si="27"/>
        <v>9123.0644402083326</v>
      </c>
    </row>
    <row r="98" spans="1:33" ht="12.75" customHeight="1" x14ac:dyDescent="0.35">
      <c r="A98" s="38" t="s">
        <v>127</v>
      </c>
      <c r="B98" s="46" t="s">
        <v>784</v>
      </c>
      <c r="C98" s="22" t="s">
        <v>128</v>
      </c>
      <c r="D98" s="75">
        <f t="shared" si="17"/>
        <v>46024</v>
      </c>
      <c r="E98" s="75" t="s">
        <v>593</v>
      </c>
      <c r="F98" s="74">
        <f t="shared" si="18"/>
        <v>46389</v>
      </c>
      <c r="G98" s="228"/>
      <c r="H98" s="19">
        <v>7.75</v>
      </c>
      <c r="I98" s="71" t="s">
        <v>19</v>
      </c>
      <c r="J98" s="2" t="s">
        <v>4</v>
      </c>
      <c r="K98" s="2" t="s">
        <v>749</v>
      </c>
      <c r="L98" s="2" t="s">
        <v>5</v>
      </c>
      <c r="M98" s="67">
        <v>0.45</v>
      </c>
      <c r="N98" s="67"/>
      <c r="O98" s="87" t="s">
        <v>928</v>
      </c>
      <c r="P98" s="137" t="s">
        <v>929</v>
      </c>
      <c r="Q98" s="46" t="s">
        <v>995</v>
      </c>
      <c r="R98" t="b">
        <f t="shared" si="30"/>
        <v>0</v>
      </c>
      <c r="S98" t="b">
        <f t="shared" si="19"/>
        <v>1</v>
      </c>
      <c r="T98" t="b">
        <f t="shared" si="20"/>
        <v>1</v>
      </c>
      <c r="U98" s="46" t="s">
        <v>784</v>
      </c>
      <c r="V98" s="225" t="str">
        <f t="shared" si="21"/>
        <v>BINHLD 7.75 01/07/29</v>
      </c>
      <c r="W98" s="67">
        <f t="shared" si="28"/>
        <v>1.1250000000000001E-2</v>
      </c>
      <c r="X98" s="151">
        <f t="shared" si="22"/>
        <v>2250.0000000000005</v>
      </c>
      <c r="Y98" s="152">
        <f ca="1">((Main!$C$4-D98)*(200000*(H98/100))/360)*0.025</f>
        <v>50.590277777777779</v>
      </c>
      <c r="Z98" s="152">
        <f t="shared" ca="1" si="23"/>
        <v>2300.5902777777783</v>
      </c>
      <c r="AA98" s="153">
        <f t="shared" ca="1" si="24"/>
        <v>8448.9177951388901</v>
      </c>
      <c r="AC98" s="67">
        <f t="shared" si="29"/>
        <v>1.1596500000000001E-2</v>
      </c>
      <c r="AD98" s="151">
        <f t="shared" si="25"/>
        <v>2319.3000000000002</v>
      </c>
      <c r="AE98">
        <f ca="1">((Main!$C$4-D98)*(200000*(H98/100))/360)*0.02577</f>
        <v>52.148458333333338</v>
      </c>
      <c r="AF98" s="152">
        <f t="shared" ca="1" si="26"/>
        <v>2371.4484583333333</v>
      </c>
      <c r="AG98" s="153">
        <f t="shared" ca="1" si="27"/>
        <v>8709.1444632291659</v>
      </c>
    </row>
    <row r="99" spans="1:33" ht="12.75" customHeight="1" x14ac:dyDescent="0.35">
      <c r="A99" s="38" t="s">
        <v>320</v>
      </c>
      <c r="B99" s="46" t="s">
        <v>319</v>
      </c>
      <c r="C99" s="22" t="s">
        <v>321</v>
      </c>
      <c r="D99" s="75">
        <f t="shared" si="17"/>
        <v>46039</v>
      </c>
      <c r="E99" s="75" t="s">
        <v>613</v>
      </c>
      <c r="F99" s="74">
        <f t="shared" si="18"/>
        <v>46404</v>
      </c>
      <c r="G99" s="228"/>
      <c r="H99" s="19">
        <v>5.0110000000000001</v>
      </c>
      <c r="I99" s="71" t="s">
        <v>19</v>
      </c>
      <c r="J99" s="2" t="s">
        <v>54</v>
      </c>
      <c r="K99" s="2" t="s">
        <v>760</v>
      </c>
      <c r="L99" s="1" t="s">
        <v>318</v>
      </c>
      <c r="M99" s="67">
        <v>0.49</v>
      </c>
      <c r="N99" s="67"/>
      <c r="O99" s="87" t="s">
        <v>946</v>
      </c>
      <c r="P99" s="137" t="s">
        <v>947</v>
      </c>
      <c r="Q99" s="46" t="s">
        <v>319</v>
      </c>
      <c r="R99" t="b">
        <f t="shared" si="30"/>
        <v>1</v>
      </c>
      <c r="S99" t="b">
        <f t="shared" si="19"/>
        <v>1</v>
      </c>
      <c r="T99" t="b">
        <f t="shared" si="20"/>
        <v>1</v>
      </c>
      <c r="U99" s="46" t="s">
        <v>319</v>
      </c>
      <c r="V99" s="225" t="str">
        <f t="shared" si="21"/>
        <v>KFIN 5.011 17/01/2029</v>
      </c>
      <c r="W99" s="67">
        <f t="shared" si="28"/>
        <v>1.225E-2</v>
      </c>
      <c r="X99" s="151">
        <f t="shared" si="22"/>
        <v>2450</v>
      </c>
      <c r="Y99" s="152">
        <f ca="1">((Main!$C$4-D99)*(200000*(H99/100))/360)*0.025</f>
        <v>22.271111111111111</v>
      </c>
      <c r="Z99" s="152">
        <f t="shared" ca="1" si="23"/>
        <v>2472.2711111111112</v>
      </c>
      <c r="AA99" s="153">
        <f t="shared" ca="1" si="24"/>
        <v>9079.4156555555546</v>
      </c>
      <c r="AC99" s="67">
        <f t="shared" si="29"/>
        <v>1.2627300000000001E-2</v>
      </c>
      <c r="AD99" s="151">
        <f t="shared" si="25"/>
        <v>2525.46</v>
      </c>
      <c r="AE99">
        <f ca="1">((Main!$C$4-D99)*(200000*(H99/100))/360)*0.02577</f>
        <v>22.957061333333336</v>
      </c>
      <c r="AF99" s="152">
        <f t="shared" ca="1" si="26"/>
        <v>2548.4170613333335</v>
      </c>
      <c r="AG99" s="153">
        <f t="shared" ca="1" si="27"/>
        <v>9359.0616577466662</v>
      </c>
    </row>
    <row r="100" spans="1:33" ht="12.75" customHeight="1" x14ac:dyDescent="0.35">
      <c r="A100" s="38" t="s">
        <v>312</v>
      </c>
      <c r="B100" s="46" t="s">
        <v>713</v>
      </c>
      <c r="C100" s="22" t="s">
        <v>313</v>
      </c>
      <c r="D100" s="75">
        <f t="shared" si="17"/>
        <v>46021</v>
      </c>
      <c r="E100" s="75" t="s">
        <v>630</v>
      </c>
      <c r="F100" s="74">
        <f t="shared" si="18"/>
        <v>46386</v>
      </c>
      <c r="G100" s="228"/>
      <c r="H100" s="19">
        <v>3.6</v>
      </c>
      <c r="I100" s="71" t="s">
        <v>19</v>
      </c>
      <c r="J100" s="2" t="s">
        <v>11</v>
      </c>
      <c r="K100" s="2" t="s">
        <v>751</v>
      </c>
      <c r="L100" s="2" t="s">
        <v>12</v>
      </c>
      <c r="M100" s="67">
        <v>1</v>
      </c>
      <c r="N100" s="67"/>
      <c r="O100" s="87" t="s">
        <v>937</v>
      </c>
      <c r="P100" s="141" t="s">
        <v>936</v>
      </c>
      <c r="Q100" s="46" t="s">
        <v>996</v>
      </c>
      <c r="R100" t="b">
        <f t="shared" si="30"/>
        <v>0</v>
      </c>
      <c r="S100" t="b">
        <f t="shared" si="19"/>
        <v>1</v>
      </c>
      <c r="T100" t="b">
        <f t="shared" si="20"/>
        <v>1</v>
      </c>
      <c r="U100" s="46" t="s">
        <v>713</v>
      </c>
      <c r="V100" s="225" t="str">
        <f t="shared" si="21"/>
        <v>KFH TIER1-3.6 - 30-JUN-26</v>
      </c>
      <c r="W100" s="67">
        <f t="shared" si="28"/>
        <v>2.5000000000000001E-2</v>
      </c>
      <c r="X100" s="151">
        <f t="shared" si="22"/>
        <v>5000</v>
      </c>
      <c r="Y100" s="152">
        <f ca="1">((Main!$C$4-D100)*(200000*(H100/100))/360)*0.025</f>
        <v>25.000000000000004</v>
      </c>
      <c r="Z100" s="152">
        <f t="shared" ca="1" si="23"/>
        <v>5025</v>
      </c>
      <c r="AA100" s="153">
        <f t="shared" ca="1" si="24"/>
        <v>18454.3125</v>
      </c>
      <c r="AC100" s="67">
        <f t="shared" si="29"/>
        <v>2.5770000000000001E-2</v>
      </c>
      <c r="AD100" s="151">
        <f t="shared" si="25"/>
        <v>5154</v>
      </c>
      <c r="AE100">
        <f ca="1">((Main!$C$4-D100)*(200000*(H100/100))/360)*0.02577</f>
        <v>25.770000000000003</v>
      </c>
      <c r="AF100" s="152">
        <f t="shared" ca="1" si="26"/>
        <v>5179.7700000000004</v>
      </c>
      <c r="AG100" s="153">
        <f t="shared" ca="1" si="27"/>
        <v>19022.705325000003</v>
      </c>
    </row>
    <row r="101" spans="1:33" ht="12.75" customHeight="1" x14ac:dyDescent="0.35">
      <c r="A101" s="38" t="s">
        <v>314</v>
      </c>
      <c r="B101" s="46" t="s">
        <v>714</v>
      </c>
      <c r="C101" s="22" t="s">
        <v>315</v>
      </c>
      <c r="D101" s="75">
        <f t="shared" si="17"/>
        <v>46036</v>
      </c>
      <c r="E101" s="75" t="s">
        <v>605</v>
      </c>
      <c r="F101" s="74">
        <f t="shared" si="18"/>
        <v>46401</v>
      </c>
      <c r="G101" s="228"/>
      <c r="H101" s="19">
        <v>5.3760000000000003</v>
      </c>
      <c r="I101" s="71" t="s">
        <v>19</v>
      </c>
      <c r="J101" s="2" t="s">
        <v>11</v>
      </c>
      <c r="K101" s="2" t="s">
        <v>751</v>
      </c>
      <c r="L101" s="2" t="s">
        <v>12</v>
      </c>
      <c r="M101" s="67">
        <v>1</v>
      </c>
      <c r="N101" s="67"/>
      <c r="O101" s="87" t="s">
        <v>937</v>
      </c>
      <c r="P101" s="141" t="s">
        <v>936</v>
      </c>
      <c r="Q101" s="46" t="s">
        <v>996</v>
      </c>
      <c r="R101" t="b">
        <f t="shared" si="30"/>
        <v>0</v>
      </c>
      <c r="S101" t="b">
        <f t="shared" si="19"/>
        <v>1</v>
      </c>
      <c r="T101" t="b">
        <f t="shared" si="20"/>
        <v>1</v>
      </c>
      <c r="U101" s="46" t="s">
        <v>714</v>
      </c>
      <c r="V101" s="225" t="str">
        <f t="shared" si="21"/>
        <v>KFHKK 5.376 14/01/2030</v>
      </c>
      <c r="W101" s="67">
        <f t="shared" si="28"/>
        <v>2.5000000000000001E-2</v>
      </c>
      <c r="X101" s="151">
        <f t="shared" si="22"/>
        <v>5000</v>
      </c>
      <c r="Y101" s="152">
        <f ca="1">((Main!$C$4-D101)*(200000*(H101/100))/360)*0.025</f>
        <v>26.133333333333333</v>
      </c>
      <c r="Z101" s="152">
        <f t="shared" ca="1" si="23"/>
        <v>5026.1333333333332</v>
      </c>
      <c r="AA101" s="153">
        <f t="shared" ca="1" si="24"/>
        <v>18458.474666666665</v>
      </c>
      <c r="AC101" s="67">
        <f t="shared" si="29"/>
        <v>2.5770000000000001E-2</v>
      </c>
      <c r="AD101" s="151">
        <f t="shared" si="25"/>
        <v>5154</v>
      </c>
      <c r="AE101">
        <f ca="1">((Main!$C$4-D101)*(200000*(H101/100))/360)*0.02577</f>
        <v>26.93824</v>
      </c>
      <c r="AF101" s="152">
        <f t="shared" ca="1" si="26"/>
        <v>5180.9382400000004</v>
      </c>
      <c r="AG101" s="153">
        <f t="shared" ca="1" si="27"/>
        <v>19026.995686400001</v>
      </c>
    </row>
    <row r="102" spans="1:33" ht="12.75" customHeight="1" x14ac:dyDescent="0.35">
      <c r="A102" s="38" t="s">
        <v>316</v>
      </c>
      <c r="B102" s="46" t="s">
        <v>785</v>
      </c>
      <c r="C102" s="22" t="s">
        <v>317</v>
      </c>
      <c r="D102" s="75">
        <f t="shared" si="17"/>
        <v>45981</v>
      </c>
      <c r="E102" s="75" t="s">
        <v>614</v>
      </c>
      <c r="F102" s="74">
        <f t="shared" si="18"/>
        <v>46346</v>
      </c>
      <c r="G102" s="228"/>
      <c r="H102" s="19">
        <v>6.25</v>
      </c>
      <c r="I102" s="71" t="s">
        <v>19</v>
      </c>
      <c r="J102" s="2" t="s">
        <v>54</v>
      </c>
      <c r="K102" s="2" t="s">
        <v>760</v>
      </c>
      <c r="L102" s="1" t="s">
        <v>318</v>
      </c>
      <c r="M102" s="67">
        <v>0.49</v>
      </c>
      <c r="N102" s="67"/>
      <c r="O102" s="87" t="s">
        <v>946</v>
      </c>
      <c r="P102" s="137" t="s">
        <v>947</v>
      </c>
      <c r="Q102" s="46" t="s">
        <v>996</v>
      </c>
      <c r="R102" t="b">
        <f t="shared" si="30"/>
        <v>0</v>
      </c>
      <c r="S102" t="b">
        <f t="shared" si="19"/>
        <v>1</v>
      </c>
      <c r="T102" t="b">
        <f t="shared" si="20"/>
        <v>1</v>
      </c>
      <c r="U102" s="46" t="s">
        <v>785</v>
      </c>
      <c r="V102" s="225" t="str">
        <f t="shared" si="21"/>
        <v>KFHKK 6.25 PERP</v>
      </c>
      <c r="W102" s="67">
        <f t="shared" si="28"/>
        <v>1.225E-2</v>
      </c>
      <c r="X102" s="151">
        <f t="shared" si="22"/>
        <v>2450</v>
      </c>
      <c r="Y102" s="152">
        <f ca="1">((Main!$C$4-D102)*(200000*(H102/100))/360)*0.025</f>
        <v>78.125</v>
      </c>
      <c r="Z102" s="152">
        <f t="shared" ca="1" si="23"/>
        <v>2528.125</v>
      </c>
      <c r="AA102" s="153">
        <f t="shared" ca="1" si="24"/>
        <v>9284.5390625</v>
      </c>
      <c r="AC102" s="67">
        <f t="shared" si="29"/>
        <v>1.2627300000000001E-2</v>
      </c>
      <c r="AD102" s="151">
        <f t="shared" si="25"/>
        <v>2525.46</v>
      </c>
      <c r="AE102">
        <f ca="1">((Main!$C$4-D102)*(200000*(H102/100))/360)*0.02577</f>
        <v>80.53125</v>
      </c>
      <c r="AF102" s="152">
        <f t="shared" ca="1" si="26"/>
        <v>2605.99125</v>
      </c>
      <c r="AG102" s="153">
        <f t="shared" ca="1" si="27"/>
        <v>9570.5028656249997</v>
      </c>
    </row>
    <row r="103" spans="1:33" ht="12.75" customHeight="1" x14ac:dyDescent="0.35">
      <c r="A103" s="38" t="s">
        <v>322</v>
      </c>
      <c r="B103" s="46" t="s">
        <v>786</v>
      </c>
      <c r="C103" s="22" t="s">
        <v>323</v>
      </c>
      <c r="D103" s="75">
        <f t="shared" si="17"/>
        <v>46007</v>
      </c>
      <c r="E103" s="75" t="s">
        <v>615</v>
      </c>
      <c r="F103" s="74">
        <f t="shared" si="18"/>
        <v>46372</v>
      </c>
      <c r="G103" s="228"/>
      <c r="H103" s="19">
        <v>6.125</v>
      </c>
      <c r="I103" s="71" t="s">
        <v>19</v>
      </c>
      <c r="J103" s="2" t="s">
        <v>54</v>
      </c>
      <c r="K103" s="2" t="s">
        <v>760</v>
      </c>
      <c r="L103" s="1" t="s">
        <v>318</v>
      </c>
      <c r="M103" s="67">
        <v>0.49</v>
      </c>
      <c r="N103" s="67"/>
      <c r="O103" s="87" t="s">
        <v>946</v>
      </c>
      <c r="P103" s="137" t="s">
        <v>947</v>
      </c>
      <c r="Q103" s="46" t="s">
        <v>996</v>
      </c>
      <c r="R103" t="b">
        <f t="shared" si="30"/>
        <v>0</v>
      </c>
      <c r="S103" t="b">
        <f t="shared" si="19"/>
        <v>1</v>
      </c>
      <c r="T103" t="b">
        <f t="shared" si="20"/>
        <v>1</v>
      </c>
      <c r="U103" s="46" t="s">
        <v>786</v>
      </c>
      <c r="V103" s="225" t="str">
        <f t="shared" si="21"/>
        <v>KFINKK-6.125-16-Dec-31-KT</v>
      </c>
      <c r="W103" s="67">
        <f t="shared" si="28"/>
        <v>1.225E-2</v>
      </c>
      <c r="X103" s="151">
        <f t="shared" si="22"/>
        <v>2450</v>
      </c>
      <c r="Y103" s="152">
        <f ca="1">((Main!$C$4-D103)*(200000*(H103/100))/360)*0.025</f>
        <v>54.44444444444445</v>
      </c>
      <c r="Z103" s="152">
        <f t="shared" ca="1" si="23"/>
        <v>2504.4444444444443</v>
      </c>
      <c r="AA103" s="153">
        <f t="shared" ca="1" si="24"/>
        <v>9197.5722222222212</v>
      </c>
      <c r="AC103" s="67">
        <f t="shared" si="29"/>
        <v>1.2627300000000001E-2</v>
      </c>
      <c r="AD103" s="151">
        <f t="shared" si="25"/>
        <v>2525.46</v>
      </c>
      <c r="AE103">
        <f ca="1">((Main!$C$4-D103)*(200000*(H103/100))/360)*0.02577</f>
        <v>56.12133333333334</v>
      </c>
      <c r="AF103" s="152">
        <f t="shared" ca="1" si="26"/>
        <v>2581.5813333333335</v>
      </c>
      <c r="AG103" s="153">
        <f t="shared" ca="1" si="27"/>
        <v>9480.8574466666669</v>
      </c>
    </row>
    <row r="104" spans="1:33" ht="12.75" customHeight="1" x14ac:dyDescent="0.35">
      <c r="A104" s="38" t="s">
        <v>324</v>
      </c>
      <c r="B104" s="46" t="s">
        <v>787</v>
      </c>
      <c r="C104" s="22" t="s">
        <v>325</v>
      </c>
      <c r="D104" s="75">
        <f t="shared" si="17"/>
        <v>45962</v>
      </c>
      <c r="E104" s="75" t="s">
        <v>633</v>
      </c>
      <c r="F104" s="74">
        <f t="shared" si="18"/>
        <v>46327</v>
      </c>
      <c r="G104" s="228"/>
      <c r="H104" s="19">
        <v>6.625</v>
      </c>
      <c r="I104" s="71" t="s">
        <v>19</v>
      </c>
      <c r="J104" s="2" t="s">
        <v>11</v>
      </c>
      <c r="K104" s="2" t="s">
        <v>751</v>
      </c>
      <c r="L104" s="2" t="s">
        <v>12</v>
      </c>
      <c r="M104" s="67">
        <v>1</v>
      </c>
      <c r="N104" s="67"/>
      <c r="O104" s="87" t="s">
        <v>937</v>
      </c>
      <c r="P104" s="141" t="s">
        <v>936</v>
      </c>
      <c r="Q104" s="46" t="s">
        <v>787</v>
      </c>
      <c r="R104" t="b">
        <f t="shared" si="30"/>
        <v>1</v>
      </c>
      <c r="S104" t="b">
        <f t="shared" si="19"/>
        <v>1</v>
      </c>
      <c r="T104" t="b">
        <f t="shared" si="20"/>
        <v>1</v>
      </c>
      <c r="U104" s="46" t="s">
        <v>787</v>
      </c>
      <c r="V104" s="225" t="str">
        <f t="shared" si="21"/>
        <v>KIBKK 6.625 01/05/2029</v>
      </c>
      <c r="W104" s="67">
        <f t="shared" si="28"/>
        <v>2.5000000000000001E-2</v>
      </c>
      <c r="X104" s="151">
        <f t="shared" si="22"/>
        <v>5000</v>
      </c>
      <c r="Y104" s="152">
        <f ca="1">((Main!$C$4-D104)*(200000*(H104/100))/360)*0.025</f>
        <v>100.2951388888889</v>
      </c>
      <c r="Z104" s="152">
        <f t="shared" ca="1" si="23"/>
        <v>5100.2951388888887</v>
      </c>
      <c r="AA104" s="153">
        <f t="shared" ca="1" si="24"/>
        <v>18730.833897569442</v>
      </c>
      <c r="AC104" s="67">
        <f t="shared" si="29"/>
        <v>2.5770000000000001E-2</v>
      </c>
      <c r="AD104" s="151">
        <f t="shared" si="25"/>
        <v>5154</v>
      </c>
      <c r="AE104">
        <f ca="1">((Main!$C$4-D104)*(200000*(H104/100))/360)*0.02577</f>
        <v>103.38422916666667</v>
      </c>
      <c r="AF104" s="152">
        <f t="shared" ca="1" si="26"/>
        <v>5257.384229166667</v>
      </c>
      <c r="AG104" s="153">
        <f t="shared" ca="1" si="27"/>
        <v>19307.743581614584</v>
      </c>
    </row>
    <row r="105" spans="1:33" ht="12.75" customHeight="1" x14ac:dyDescent="0.35">
      <c r="A105" s="41" t="s">
        <v>341</v>
      </c>
      <c r="B105" s="52" t="s">
        <v>788</v>
      </c>
      <c r="C105" s="42" t="s">
        <v>342</v>
      </c>
      <c r="D105" s="75">
        <f t="shared" si="17"/>
        <v>45897</v>
      </c>
      <c r="E105" s="75" t="s">
        <v>588</v>
      </c>
      <c r="F105" s="74">
        <f t="shared" si="18"/>
        <v>46262</v>
      </c>
      <c r="G105" s="228"/>
      <c r="H105" s="19">
        <v>3.9325000000000001</v>
      </c>
      <c r="I105" s="71" t="s">
        <v>19</v>
      </c>
      <c r="J105" s="60" t="s">
        <v>943</v>
      </c>
      <c r="K105" s="43" t="s">
        <v>755</v>
      </c>
      <c r="L105" s="43" t="s">
        <v>343</v>
      </c>
      <c r="M105" s="67">
        <v>0.66</v>
      </c>
      <c r="N105" s="67"/>
      <c r="O105" s="87" t="s">
        <v>944</v>
      </c>
      <c r="P105" s="141" t="s">
        <v>945</v>
      </c>
      <c r="Q105" s="52" t="s">
        <v>997</v>
      </c>
      <c r="R105" t="b">
        <f t="shared" si="30"/>
        <v>0</v>
      </c>
      <c r="S105" t="b">
        <f t="shared" si="19"/>
        <v>1</v>
      </c>
      <c r="T105" t="b">
        <f t="shared" si="20"/>
        <v>1</v>
      </c>
      <c r="U105" s="52" t="s">
        <v>788</v>
      </c>
      <c r="V105" s="225" t="str">
        <f t="shared" si="21"/>
        <v>MAF 3.9325 28/02/30</v>
      </c>
      <c r="W105" s="67">
        <f t="shared" si="28"/>
        <v>1.6500000000000001E-2</v>
      </c>
      <c r="X105" s="151">
        <f t="shared" si="22"/>
        <v>3300</v>
      </c>
      <c r="Y105" s="152">
        <f ca="1">((Main!$C$4-D105)*(200000*(H105/100))/360)*0.025</f>
        <v>95.035416666666663</v>
      </c>
      <c r="Z105" s="152">
        <f t="shared" ca="1" si="23"/>
        <v>3395.0354166666666</v>
      </c>
      <c r="AA105" s="153">
        <f t="shared" ca="1" si="24"/>
        <v>12468.267567708333</v>
      </c>
      <c r="AC105" s="67">
        <f t="shared" si="29"/>
        <v>1.7008200000000001E-2</v>
      </c>
      <c r="AD105" s="151">
        <f t="shared" si="25"/>
        <v>3401.6400000000003</v>
      </c>
      <c r="AE105">
        <f ca="1">((Main!$C$4-D105)*(200000*(H105/100))/360)*0.02577</f>
        <v>97.962507500000001</v>
      </c>
      <c r="AF105" s="152">
        <f t="shared" ca="1" si="26"/>
        <v>3499.6025075000002</v>
      </c>
      <c r="AG105" s="153">
        <f t="shared" ca="1" si="27"/>
        <v>12852.290208793751</v>
      </c>
    </row>
    <row r="106" spans="1:33" ht="12.75" customHeight="1" x14ac:dyDescent="0.35">
      <c r="A106" s="41" t="s">
        <v>344</v>
      </c>
      <c r="B106" s="52" t="s">
        <v>789</v>
      </c>
      <c r="C106" s="42" t="s">
        <v>345</v>
      </c>
      <c r="D106" s="75">
        <f t="shared" si="17"/>
        <v>45975</v>
      </c>
      <c r="E106" s="75" t="s">
        <v>634</v>
      </c>
      <c r="F106" s="74">
        <f t="shared" si="18"/>
        <v>46340</v>
      </c>
      <c r="G106" s="228"/>
      <c r="H106" s="19">
        <v>4.6379999999999999</v>
      </c>
      <c r="I106" s="71" t="s">
        <v>19</v>
      </c>
      <c r="J106" s="60" t="s">
        <v>943</v>
      </c>
      <c r="K106" s="43" t="s">
        <v>756</v>
      </c>
      <c r="L106" s="43" t="s">
        <v>343</v>
      </c>
      <c r="M106" s="67">
        <v>0.66</v>
      </c>
      <c r="N106" s="67"/>
      <c r="O106" s="87" t="s">
        <v>944</v>
      </c>
      <c r="P106" s="141" t="s">
        <v>945</v>
      </c>
      <c r="Q106" s="52" t="s">
        <v>997</v>
      </c>
      <c r="R106" t="b">
        <f t="shared" si="30"/>
        <v>0</v>
      </c>
      <c r="S106" t="b">
        <f t="shared" si="19"/>
        <v>1</v>
      </c>
      <c r="T106" t="b">
        <f t="shared" si="20"/>
        <v>1</v>
      </c>
      <c r="U106" s="52" t="s">
        <v>789</v>
      </c>
      <c r="V106" s="225" t="str">
        <f t="shared" si="21"/>
        <v>MAFUAE 4.638 05/14/29</v>
      </c>
      <c r="W106" s="67">
        <f t="shared" si="28"/>
        <v>1.6500000000000001E-2</v>
      </c>
      <c r="X106" s="151">
        <f t="shared" si="22"/>
        <v>3300</v>
      </c>
      <c r="Y106" s="152">
        <f ca="1">((Main!$C$4-D106)*(200000*(H106/100))/360)*0.025</f>
        <v>61.84</v>
      </c>
      <c r="Z106" s="152">
        <f t="shared" ca="1" si="23"/>
        <v>3361.84</v>
      </c>
      <c r="AA106" s="153">
        <f t="shared" ca="1" si="24"/>
        <v>12346.357400000001</v>
      </c>
      <c r="AC106" s="67">
        <f t="shared" si="29"/>
        <v>1.7008200000000001E-2</v>
      </c>
      <c r="AD106" s="151">
        <f t="shared" si="25"/>
        <v>3401.6400000000003</v>
      </c>
      <c r="AE106">
        <f ca="1">((Main!$C$4-D106)*(200000*(H106/100))/360)*0.02577</f>
        <v>63.744672000000001</v>
      </c>
      <c r="AF106" s="152">
        <f t="shared" ca="1" si="26"/>
        <v>3465.3846720000001</v>
      </c>
      <c r="AG106" s="153">
        <f t="shared" ca="1" si="27"/>
        <v>12726.62520792</v>
      </c>
    </row>
    <row r="107" spans="1:33" ht="12.75" customHeight="1" x14ac:dyDescent="0.35">
      <c r="A107" s="38" t="s">
        <v>346</v>
      </c>
      <c r="B107" s="46" t="s">
        <v>790</v>
      </c>
      <c r="C107" s="22" t="s">
        <v>347</v>
      </c>
      <c r="D107" s="75">
        <f t="shared" si="17"/>
        <v>45952</v>
      </c>
      <c r="E107" s="75" t="s">
        <v>584</v>
      </c>
      <c r="F107" s="74">
        <f t="shared" si="18"/>
        <v>46317</v>
      </c>
      <c r="G107" s="228"/>
      <c r="H107" s="19">
        <v>4.875</v>
      </c>
      <c r="I107" s="71" t="s">
        <v>19</v>
      </c>
      <c r="J107" s="2" t="s">
        <v>54</v>
      </c>
      <c r="K107" s="2" t="s">
        <v>760</v>
      </c>
      <c r="L107" s="2" t="s">
        <v>343</v>
      </c>
      <c r="M107" s="67">
        <v>0.49</v>
      </c>
      <c r="N107" s="67"/>
      <c r="O107" s="87" t="s">
        <v>946</v>
      </c>
      <c r="P107" s="137" t="s">
        <v>947</v>
      </c>
      <c r="Q107" s="52" t="s">
        <v>997</v>
      </c>
      <c r="R107" t="b">
        <f t="shared" si="30"/>
        <v>0</v>
      </c>
      <c r="S107" t="b">
        <f t="shared" si="19"/>
        <v>1</v>
      </c>
      <c r="T107" t="b">
        <f t="shared" si="20"/>
        <v>1</v>
      </c>
      <c r="U107" s="46" t="s">
        <v>790</v>
      </c>
      <c r="V107" s="225" t="str">
        <f t="shared" si="21"/>
        <v>MAFUAE 4.875 22/10/35</v>
      </c>
      <c r="W107" s="67">
        <f t="shared" si="28"/>
        <v>1.225E-2</v>
      </c>
      <c r="X107" s="151">
        <f t="shared" si="22"/>
        <v>2450</v>
      </c>
      <c r="Y107" s="152">
        <f ca="1">((Main!$C$4-D107)*(200000*(H107/100))/360)*0.025</f>
        <v>80.572916666666671</v>
      </c>
      <c r="Z107" s="152">
        <f t="shared" ca="1" si="23"/>
        <v>2530.5729166666665</v>
      </c>
      <c r="AA107" s="153">
        <f t="shared" ca="1" si="24"/>
        <v>9293.5290364583325</v>
      </c>
      <c r="AC107" s="67">
        <f t="shared" si="29"/>
        <v>1.2627300000000001E-2</v>
      </c>
      <c r="AD107" s="151">
        <f t="shared" si="25"/>
        <v>2525.46</v>
      </c>
      <c r="AE107">
        <f ca="1">((Main!$C$4-D107)*(200000*(H107/100))/360)*0.02577</f>
        <v>83.054562500000003</v>
      </c>
      <c r="AF107" s="152">
        <f t="shared" ca="1" si="26"/>
        <v>2608.5145625</v>
      </c>
      <c r="AG107" s="153">
        <f t="shared" ca="1" si="27"/>
        <v>9579.7697307812505</v>
      </c>
    </row>
    <row r="108" spans="1:33" ht="12.75" customHeight="1" x14ac:dyDescent="0.35">
      <c r="A108" s="38" t="s">
        <v>348</v>
      </c>
      <c r="B108" s="46" t="s">
        <v>791</v>
      </c>
      <c r="C108" s="22" t="s">
        <v>349</v>
      </c>
      <c r="D108" s="75">
        <f t="shared" si="17"/>
        <v>45992</v>
      </c>
      <c r="E108" s="75" t="s">
        <v>642</v>
      </c>
      <c r="F108" s="74">
        <f t="shared" si="18"/>
        <v>46357</v>
      </c>
      <c r="G108" s="228"/>
      <c r="H108" s="19">
        <v>5</v>
      </c>
      <c r="I108" s="71" t="s">
        <v>19</v>
      </c>
      <c r="J108" s="2" t="s">
        <v>54</v>
      </c>
      <c r="K108" s="2" t="s">
        <v>760</v>
      </c>
      <c r="L108" s="2" t="s">
        <v>343</v>
      </c>
      <c r="M108" s="67">
        <v>0.49</v>
      </c>
      <c r="N108" s="67"/>
      <c r="O108" s="87" t="s">
        <v>946</v>
      </c>
      <c r="P108" s="137" t="s">
        <v>947</v>
      </c>
      <c r="Q108" s="52" t="s">
        <v>997</v>
      </c>
      <c r="R108" t="b">
        <f t="shared" si="30"/>
        <v>0</v>
      </c>
      <c r="S108" t="b">
        <f t="shared" si="19"/>
        <v>1</v>
      </c>
      <c r="T108" t="b">
        <f t="shared" si="20"/>
        <v>1</v>
      </c>
      <c r="U108" s="46" t="s">
        <v>791</v>
      </c>
      <c r="V108" s="225" t="str">
        <f t="shared" si="21"/>
        <v>MAFUAE 5 01/06/2033</v>
      </c>
      <c r="W108" s="67">
        <f t="shared" si="28"/>
        <v>1.225E-2</v>
      </c>
      <c r="X108" s="151">
        <f t="shared" si="22"/>
        <v>2450</v>
      </c>
      <c r="Y108" s="152">
        <f ca="1">((Main!$C$4-D108)*(200000*(H108/100))/360)*0.025</f>
        <v>54.861111111111114</v>
      </c>
      <c r="Z108" s="152">
        <f t="shared" ca="1" si="23"/>
        <v>2504.8611111111113</v>
      </c>
      <c r="AA108" s="153">
        <f t="shared" ca="1" si="24"/>
        <v>9199.1024305555566</v>
      </c>
      <c r="AC108" s="67">
        <f t="shared" si="29"/>
        <v>1.2627300000000001E-2</v>
      </c>
      <c r="AD108" s="151">
        <f t="shared" si="25"/>
        <v>2525.46</v>
      </c>
      <c r="AE108">
        <f ca="1">((Main!$C$4-D108)*(200000*(H108/100))/360)*0.02577</f>
        <v>56.550833333333337</v>
      </c>
      <c r="AF108" s="152">
        <f t="shared" ca="1" si="26"/>
        <v>2582.0108333333333</v>
      </c>
      <c r="AG108" s="153">
        <f t="shared" ca="1" si="27"/>
        <v>9482.4347854166663</v>
      </c>
    </row>
    <row r="109" spans="1:33" ht="12.75" customHeight="1" x14ac:dyDescent="0.35">
      <c r="A109" s="38" t="s">
        <v>339</v>
      </c>
      <c r="B109" s="46" t="s">
        <v>792</v>
      </c>
      <c r="C109" s="22" t="s">
        <v>340</v>
      </c>
      <c r="D109" s="75">
        <f t="shared" si="17"/>
        <v>45990</v>
      </c>
      <c r="E109" s="75" t="s">
        <v>583</v>
      </c>
      <c r="F109" s="74">
        <f t="shared" si="18"/>
        <v>46355</v>
      </c>
      <c r="G109" s="228"/>
      <c r="H109" s="19">
        <f>4+7/8</f>
        <v>4.875</v>
      </c>
      <c r="I109" s="71" t="s">
        <v>19</v>
      </c>
      <c r="J109" s="2" t="s">
        <v>54</v>
      </c>
      <c r="K109" s="2" t="s">
        <v>759</v>
      </c>
      <c r="L109" s="1" t="s">
        <v>338</v>
      </c>
      <c r="M109" s="67">
        <v>0.45</v>
      </c>
      <c r="N109" s="67"/>
      <c r="O109" s="87" t="s">
        <v>946</v>
      </c>
      <c r="P109" s="137" t="s">
        <v>947</v>
      </c>
      <c r="Q109" s="46" t="s">
        <v>792</v>
      </c>
      <c r="R109" t="b">
        <f t="shared" si="30"/>
        <v>1</v>
      </c>
      <c r="S109" t="b">
        <f t="shared" si="19"/>
        <v>1</v>
      </c>
      <c r="T109" t="b">
        <f t="shared" si="20"/>
        <v>1</v>
      </c>
      <c r="U109" s="46" t="s">
        <v>792</v>
      </c>
      <c r="V109" s="225" t="str">
        <f t="shared" si="21"/>
        <v>MAALRA 4 ⅞ 05/29/30 EMTN</v>
      </c>
      <c r="W109" s="67">
        <f t="shared" si="28"/>
        <v>1.1250000000000001E-2</v>
      </c>
      <c r="X109" s="151">
        <f t="shared" si="22"/>
        <v>2250.0000000000005</v>
      </c>
      <c r="Y109" s="152">
        <f ca="1">((Main!$C$4-D109)*(200000*(H109/100))/360)*0.025</f>
        <v>54.84375</v>
      </c>
      <c r="Z109" s="152">
        <f t="shared" ca="1" si="23"/>
        <v>2304.8437500000005</v>
      </c>
      <c r="AA109" s="153">
        <f t="shared" ca="1" si="24"/>
        <v>8464.5386718750015</v>
      </c>
      <c r="AC109" s="67">
        <f t="shared" si="29"/>
        <v>1.1596500000000001E-2</v>
      </c>
      <c r="AD109" s="151">
        <f t="shared" si="25"/>
        <v>2319.3000000000002</v>
      </c>
      <c r="AE109">
        <f ca="1">((Main!$C$4-D109)*(200000*(H109/100))/360)*0.02577</f>
        <v>56.532937500000003</v>
      </c>
      <c r="AF109" s="152">
        <f t="shared" ca="1" si="26"/>
        <v>2375.8329375000003</v>
      </c>
      <c r="AG109" s="153">
        <f t="shared" ca="1" si="27"/>
        <v>8725.2464629687511</v>
      </c>
    </row>
    <row r="110" spans="1:33" ht="12.75" customHeight="1" x14ac:dyDescent="0.35">
      <c r="A110" s="38" t="s">
        <v>336</v>
      </c>
      <c r="B110" s="46" t="s">
        <v>335</v>
      </c>
      <c r="C110" s="22" t="s">
        <v>337</v>
      </c>
      <c r="D110" s="75">
        <f t="shared" si="17"/>
        <v>45952</v>
      </c>
      <c r="E110" s="75" t="s">
        <v>584</v>
      </c>
      <c r="F110" s="74">
        <f t="shared" si="18"/>
        <v>46317</v>
      </c>
      <c r="G110" s="228"/>
      <c r="H110" s="19">
        <v>5.03</v>
      </c>
      <c r="I110" s="71" t="s">
        <v>19</v>
      </c>
      <c r="J110" s="2" t="s">
        <v>54</v>
      </c>
      <c r="K110" s="2" t="s">
        <v>759</v>
      </c>
      <c r="L110" s="1" t="s">
        <v>338</v>
      </c>
      <c r="M110" s="67">
        <v>0.45</v>
      </c>
      <c r="N110" s="67"/>
      <c r="O110" s="87" t="s">
        <v>946</v>
      </c>
      <c r="P110" s="137" t="s">
        <v>947</v>
      </c>
      <c r="Q110" s="46" t="s">
        <v>335</v>
      </c>
      <c r="R110" t="b">
        <f t="shared" si="30"/>
        <v>1</v>
      </c>
      <c r="S110" t="b">
        <f t="shared" si="19"/>
        <v>1</v>
      </c>
      <c r="T110" t="b">
        <f t="shared" si="20"/>
        <v>1</v>
      </c>
      <c r="U110" s="46" t="s">
        <v>335</v>
      </c>
      <c r="V110" s="225" t="str">
        <f t="shared" si="21"/>
        <v>MAALIS 5.03 220430</v>
      </c>
      <c r="W110" s="67">
        <f t="shared" si="28"/>
        <v>1.1250000000000001E-2</v>
      </c>
      <c r="X110" s="151">
        <f t="shared" si="22"/>
        <v>2250.0000000000005</v>
      </c>
      <c r="Y110" s="152">
        <f ca="1">((Main!$C$4-D110)*(200000*(H110/100))/360)*0.025</f>
        <v>83.134722222222223</v>
      </c>
      <c r="Z110" s="152">
        <f t="shared" ca="1" si="23"/>
        <v>2333.1347222222225</v>
      </c>
      <c r="AA110" s="153">
        <f t="shared" ca="1" si="24"/>
        <v>8568.4372673611124</v>
      </c>
      <c r="AC110" s="67">
        <f t="shared" si="29"/>
        <v>1.1596500000000001E-2</v>
      </c>
      <c r="AD110" s="151">
        <f t="shared" si="25"/>
        <v>2319.3000000000002</v>
      </c>
      <c r="AE110">
        <f ca="1">((Main!$C$4-D110)*(200000*(H110/100))/360)*0.02577</f>
        <v>85.69527166666667</v>
      </c>
      <c r="AF110" s="152">
        <f t="shared" ca="1" si="26"/>
        <v>2404.9952716666667</v>
      </c>
      <c r="AG110" s="153">
        <f t="shared" ca="1" si="27"/>
        <v>8832.3451351958338</v>
      </c>
    </row>
    <row r="111" spans="1:33" ht="12.75" customHeight="1" x14ac:dyDescent="0.35">
      <c r="A111" s="38" t="s">
        <v>355</v>
      </c>
      <c r="B111" s="46" t="s">
        <v>793</v>
      </c>
      <c r="C111" s="22" t="s">
        <v>356</v>
      </c>
      <c r="D111" s="75">
        <f t="shared" si="17"/>
        <v>45969</v>
      </c>
      <c r="E111" s="75" t="s">
        <v>637</v>
      </c>
      <c r="F111" s="74">
        <f t="shared" si="18"/>
        <v>46334</v>
      </c>
      <c r="G111" s="228"/>
      <c r="H111" s="19">
        <v>5.2</v>
      </c>
      <c r="I111" s="71" t="s">
        <v>19</v>
      </c>
      <c r="J111" s="2" t="s">
        <v>8</v>
      </c>
      <c r="K111" s="60" t="s">
        <v>743</v>
      </c>
      <c r="L111" s="27" t="s">
        <v>357</v>
      </c>
      <c r="M111" s="67">
        <v>0</v>
      </c>
      <c r="N111" s="67"/>
      <c r="O111" s="87" t="s">
        <v>933</v>
      </c>
      <c r="P111" s="137" t="s">
        <v>927</v>
      </c>
      <c r="Q111" s="46" t="s">
        <v>998</v>
      </c>
      <c r="R111" t="b">
        <f t="shared" si="30"/>
        <v>0</v>
      </c>
      <c r="S111" t="b">
        <f t="shared" si="19"/>
        <v>1</v>
      </c>
      <c r="T111" t="b">
        <f t="shared" si="20"/>
        <v>1</v>
      </c>
      <c r="U111" s="46" t="s">
        <v>793</v>
      </c>
      <c r="V111" s="225" t="str">
        <f t="shared" si="21"/>
        <v>MAZOON 5.2 11/27</v>
      </c>
      <c r="W111" s="67">
        <f t="shared" si="28"/>
        <v>0</v>
      </c>
      <c r="X111" s="151">
        <f t="shared" si="22"/>
        <v>0</v>
      </c>
      <c r="Y111" s="152">
        <f ca="1">((Main!$C$4-D111)*(200000*(H111/100))/360)*0.025</f>
        <v>73.666666666666686</v>
      </c>
      <c r="Z111" s="152">
        <f t="shared" ca="1" si="23"/>
        <v>73.666666666666686</v>
      </c>
      <c r="AA111" s="153">
        <f t="shared" ca="1" si="24"/>
        <v>270.54083333333341</v>
      </c>
      <c r="AC111" s="67">
        <f t="shared" si="29"/>
        <v>0</v>
      </c>
      <c r="AD111" s="151">
        <f t="shared" si="25"/>
        <v>0</v>
      </c>
      <c r="AE111">
        <f ca="1">((Main!$C$4-D111)*(200000*(H111/100))/360)*0.02577</f>
        <v>75.935600000000022</v>
      </c>
      <c r="AF111" s="152">
        <f t="shared" ca="1" si="26"/>
        <v>75.935600000000022</v>
      </c>
      <c r="AG111" s="153">
        <f t="shared" ca="1" si="27"/>
        <v>278.87349100000006</v>
      </c>
    </row>
    <row r="112" spans="1:33" ht="12.75" customHeight="1" x14ac:dyDescent="0.35">
      <c r="A112" s="38" t="s">
        <v>358</v>
      </c>
      <c r="B112" s="46" t="s">
        <v>794</v>
      </c>
      <c r="C112" s="22" t="s">
        <v>359</v>
      </c>
      <c r="D112" s="75">
        <f t="shared" si="17"/>
        <v>45939</v>
      </c>
      <c r="E112" s="75" t="s">
        <v>570</v>
      </c>
      <c r="F112" s="74">
        <f t="shared" si="18"/>
        <v>46304</v>
      </c>
      <c r="G112" s="228"/>
      <c r="H112" s="19">
        <v>5.25</v>
      </c>
      <c r="I112" s="71" t="s">
        <v>19</v>
      </c>
      <c r="J112" s="2" t="s">
        <v>8</v>
      </c>
      <c r="K112" s="60" t="s">
        <v>744</v>
      </c>
      <c r="L112" s="27" t="s">
        <v>360</v>
      </c>
      <c r="M112" s="67">
        <v>0</v>
      </c>
      <c r="N112" s="67"/>
      <c r="O112" s="144" t="s">
        <v>933</v>
      </c>
      <c r="P112" s="145" t="s">
        <v>927</v>
      </c>
      <c r="Q112" s="46" t="s">
        <v>998</v>
      </c>
      <c r="R112" t="b">
        <f t="shared" si="30"/>
        <v>0</v>
      </c>
      <c r="S112" t="b">
        <f t="shared" si="19"/>
        <v>1</v>
      </c>
      <c r="T112" t="b">
        <f t="shared" si="20"/>
        <v>1</v>
      </c>
      <c r="U112" s="46" t="s">
        <v>794</v>
      </c>
      <c r="V112" s="225" t="str">
        <f t="shared" si="21"/>
        <v>MAZOON 5.25 09/10/2031</v>
      </c>
      <c r="W112" s="67">
        <f t="shared" si="28"/>
        <v>0</v>
      </c>
      <c r="X112" s="151">
        <f t="shared" si="22"/>
        <v>0</v>
      </c>
      <c r="Y112" s="152">
        <f ca="1">((Main!$C$4-D112)*(200000*(H112/100))/360)*0.025</f>
        <v>96.25</v>
      </c>
      <c r="Z112" s="152">
        <f t="shared" ca="1" si="23"/>
        <v>96.25</v>
      </c>
      <c r="AA112" s="153">
        <f t="shared" ca="1" si="24"/>
        <v>353.47812499999998</v>
      </c>
      <c r="AC112" s="67">
        <f t="shared" si="29"/>
        <v>0</v>
      </c>
      <c r="AD112" s="151">
        <f t="shared" si="25"/>
        <v>0</v>
      </c>
      <c r="AE112">
        <f ca="1">((Main!$C$4-D112)*(200000*(H112/100))/360)*0.02577</f>
        <v>99.214500000000001</v>
      </c>
      <c r="AF112" s="152">
        <f t="shared" ca="1" si="26"/>
        <v>99.214500000000001</v>
      </c>
      <c r="AG112" s="153">
        <f t="shared" ca="1" si="27"/>
        <v>364.36525124999997</v>
      </c>
    </row>
    <row r="113" spans="1:33" ht="12.75" customHeight="1" x14ac:dyDescent="0.35">
      <c r="A113" s="38" t="s">
        <v>361</v>
      </c>
      <c r="B113" s="46" t="s">
        <v>795</v>
      </c>
      <c r="C113" s="22" t="s">
        <v>362</v>
      </c>
      <c r="D113" s="75">
        <f t="shared" si="17"/>
        <v>45883</v>
      </c>
      <c r="E113" s="75" t="s">
        <v>617</v>
      </c>
      <c r="F113" s="74">
        <f t="shared" si="18"/>
        <v>46248</v>
      </c>
      <c r="G113" s="228"/>
      <c r="H113" s="19">
        <v>5.5</v>
      </c>
      <c r="I113" s="71" t="s">
        <v>19</v>
      </c>
      <c r="J113" s="2" t="s">
        <v>8</v>
      </c>
      <c r="K113" s="60" t="s">
        <v>745</v>
      </c>
      <c r="L113" s="27" t="s">
        <v>360</v>
      </c>
      <c r="M113" s="67">
        <v>0</v>
      </c>
      <c r="N113" s="67"/>
      <c r="O113" s="87" t="s">
        <v>933</v>
      </c>
      <c r="P113" s="137" t="s">
        <v>927</v>
      </c>
      <c r="Q113" s="46" t="s">
        <v>998</v>
      </c>
      <c r="R113" t="b">
        <f t="shared" si="30"/>
        <v>0</v>
      </c>
      <c r="S113" t="b">
        <f t="shared" si="19"/>
        <v>1</v>
      </c>
      <c r="T113" t="b">
        <f t="shared" si="20"/>
        <v>1</v>
      </c>
      <c r="U113" s="46" t="s">
        <v>795</v>
      </c>
      <c r="V113" s="225" t="str">
        <f t="shared" si="21"/>
        <v>MAZOON 5.5 14/02/2029</v>
      </c>
      <c r="W113" s="67">
        <f t="shared" si="28"/>
        <v>0</v>
      </c>
      <c r="X113" s="151">
        <f t="shared" si="22"/>
        <v>0</v>
      </c>
      <c r="Y113" s="152">
        <f ca="1">((Main!$C$4-D113)*(200000*(H113/100))/360)*0.025</f>
        <v>143.61111111111111</v>
      </c>
      <c r="Z113" s="152">
        <f t="shared" ca="1" si="23"/>
        <v>143.61111111111111</v>
      </c>
      <c r="AA113" s="153">
        <f t="shared" ca="1" si="24"/>
        <v>527.41180555555559</v>
      </c>
      <c r="AC113" s="67">
        <f t="shared" si="29"/>
        <v>0</v>
      </c>
      <c r="AD113" s="151">
        <f t="shared" si="25"/>
        <v>0</v>
      </c>
      <c r="AE113">
        <f ca="1">((Main!$C$4-D113)*(200000*(H113/100))/360)*0.02577</f>
        <v>148.03433333333334</v>
      </c>
      <c r="AF113" s="152">
        <f t="shared" ca="1" si="26"/>
        <v>148.03433333333334</v>
      </c>
      <c r="AG113" s="153">
        <f t="shared" ca="1" si="27"/>
        <v>543.65608916666667</v>
      </c>
    </row>
    <row r="114" spans="1:33" ht="12.75" customHeight="1" x14ac:dyDescent="0.35">
      <c r="A114" s="38" t="s">
        <v>363</v>
      </c>
      <c r="B114" s="46" t="s">
        <v>796</v>
      </c>
      <c r="C114" s="22" t="s">
        <v>364</v>
      </c>
      <c r="D114" s="75">
        <f t="shared" si="17"/>
        <v>45966</v>
      </c>
      <c r="E114" s="75" t="s">
        <v>638</v>
      </c>
      <c r="F114" s="74">
        <f t="shared" si="18"/>
        <v>46331</v>
      </c>
      <c r="G114" s="228"/>
      <c r="H114" s="19">
        <v>4.5999999999999996</v>
      </c>
      <c r="I114" s="71" t="s">
        <v>19</v>
      </c>
      <c r="J114" s="2" t="s">
        <v>6</v>
      </c>
      <c r="K114" s="2" t="s">
        <v>733</v>
      </c>
      <c r="L114" s="27" t="s">
        <v>7</v>
      </c>
      <c r="M114" s="67">
        <v>1</v>
      </c>
      <c r="N114" s="67"/>
      <c r="O114" s="87" t="s">
        <v>941</v>
      </c>
      <c r="P114" s="137" t="s">
        <v>942</v>
      </c>
      <c r="Q114" s="46" t="s">
        <v>999</v>
      </c>
      <c r="R114" t="b">
        <f t="shared" si="30"/>
        <v>0</v>
      </c>
      <c r="S114" t="b">
        <f t="shared" si="19"/>
        <v>1</v>
      </c>
      <c r="T114" t="b">
        <f t="shared" si="20"/>
        <v>1</v>
      </c>
      <c r="U114" s="46" t="s">
        <v>796</v>
      </c>
      <c r="V114" s="225" t="str">
        <f t="shared" si="21"/>
        <v>MUBAUH 4.6 05/11/2029</v>
      </c>
      <c r="W114" s="67">
        <f t="shared" si="28"/>
        <v>2.5000000000000001E-2</v>
      </c>
      <c r="X114" s="151">
        <f t="shared" si="22"/>
        <v>5000</v>
      </c>
      <c r="Y114" s="152">
        <f ca="1">((Main!$C$4-D114)*(200000*(H114/100))/360)*0.025</f>
        <v>67.083333333333343</v>
      </c>
      <c r="Z114" s="152">
        <f t="shared" ca="1" si="23"/>
        <v>5067.083333333333</v>
      </c>
      <c r="AA114" s="153">
        <f t="shared" ca="1" si="24"/>
        <v>18608.863541666666</v>
      </c>
      <c r="AC114" s="67">
        <f t="shared" si="29"/>
        <v>2.5770000000000001E-2</v>
      </c>
      <c r="AD114" s="151">
        <f t="shared" si="25"/>
        <v>5154</v>
      </c>
      <c r="AE114">
        <f ca="1">((Main!$C$4-D114)*(200000*(H114/100))/360)*0.02577</f>
        <v>69.149500000000003</v>
      </c>
      <c r="AF114" s="152">
        <f t="shared" ca="1" si="26"/>
        <v>5223.1495000000004</v>
      </c>
      <c r="AG114" s="153">
        <f t="shared" ca="1" si="27"/>
        <v>19182.016538750002</v>
      </c>
    </row>
    <row r="115" spans="1:33" ht="12.75" customHeight="1" x14ac:dyDescent="0.35">
      <c r="A115" s="38" t="s">
        <v>365</v>
      </c>
      <c r="B115" s="46" t="s">
        <v>797</v>
      </c>
      <c r="C115" s="22" t="s">
        <v>366</v>
      </c>
      <c r="D115" s="75">
        <f t="shared" si="17"/>
        <v>45934</v>
      </c>
      <c r="E115" s="75" t="s">
        <v>639</v>
      </c>
      <c r="F115" s="74">
        <f t="shared" si="18"/>
        <v>46299</v>
      </c>
      <c r="G115" s="228"/>
      <c r="H115" s="19">
        <v>4.9589999999999996</v>
      </c>
      <c r="I115" s="71" t="s">
        <v>19</v>
      </c>
      <c r="J115" s="2" t="s">
        <v>6</v>
      </c>
      <c r="K115" s="2" t="s">
        <v>733</v>
      </c>
      <c r="L115" s="27" t="s">
        <v>7</v>
      </c>
      <c r="M115" s="67">
        <v>1</v>
      </c>
      <c r="N115" s="67"/>
      <c r="O115" s="87" t="s">
        <v>941</v>
      </c>
      <c r="P115" s="137" t="s">
        <v>942</v>
      </c>
      <c r="Q115" s="46" t="s">
        <v>999</v>
      </c>
      <c r="R115" t="b">
        <f t="shared" si="30"/>
        <v>0</v>
      </c>
      <c r="S115" t="b">
        <f t="shared" si="19"/>
        <v>1</v>
      </c>
      <c r="T115" t="b">
        <f t="shared" si="20"/>
        <v>1</v>
      </c>
      <c r="U115" s="46" t="s">
        <v>797</v>
      </c>
      <c r="V115" s="225" t="str">
        <f t="shared" si="21"/>
        <v>MUBAUH 4.959 04/04/2034</v>
      </c>
      <c r="W115" s="67">
        <f t="shared" si="28"/>
        <v>2.5000000000000001E-2</v>
      </c>
      <c r="X115" s="151">
        <f t="shared" si="22"/>
        <v>5000</v>
      </c>
      <c r="Y115" s="152">
        <f ca="1">((Main!$C$4-D115)*(200000*(H115/100))/360)*0.025</f>
        <v>94.358749999999986</v>
      </c>
      <c r="Z115" s="152">
        <f t="shared" ca="1" si="23"/>
        <v>5094.3587500000003</v>
      </c>
      <c r="AA115" s="153">
        <f t="shared" ca="1" si="24"/>
        <v>18709.032509375</v>
      </c>
      <c r="AC115" s="67">
        <f t="shared" si="29"/>
        <v>2.5770000000000001E-2</v>
      </c>
      <c r="AD115" s="151">
        <f t="shared" si="25"/>
        <v>5154</v>
      </c>
      <c r="AE115">
        <f ca="1">((Main!$C$4-D115)*(200000*(H115/100))/360)*0.02577</f>
        <v>97.264999499999988</v>
      </c>
      <c r="AF115" s="152">
        <f t="shared" ca="1" si="26"/>
        <v>5251.2649995000002</v>
      </c>
      <c r="AG115" s="153">
        <f t="shared" ca="1" si="27"/>
        <v>19285.27071066375</v>
      </c>
    </row>
    <row r="116" spans="1:33" ht="12.75" customHeight="1" x14ac:dyDescent="0.35">
      <c r="A116" s="38" t="s">
        <v>367</v>
      </c>
      <c r="B116" s="46" t="s">
        <v>798</v>
      </c>
      <c r="C116" s="22" t="s">
        <v>368</v>
      </c>
      <c r="D116" s="75">
        <f t="shared" si="17"/>
        <v>45995</v>
      </c>
      <c r="E116" s="75" t="s">
        <v>564</v>
      </c>
      <c r="F116" s="74">
        <f t="shared" si="18"/>
        <v>46360</v>
      </c>
      <c r="G116" s="228"/>
      <c r="H116" s="19">
        <v>5</v>
      </c>
      <c r="I116" s="71" t="s">
        <v>19</v>
      </c>
      <c r="J116" s="2" t="s">
        <v>6</v>
      </c>
      <c r="K116" s="2" t="s">
        <v>733</v>
      </c>
      <c r="L116" s="27" t="s">
        <v>7</v>
      </c>
      <c r="M116" s="67">
        <v>1</v>
      </c>
      <c r="N116" s="67"/>
      <c r="O116" s="87" t="s">
        <v>941</v>
      </c>
      <c r="P116" s="137" t="s">
        <v>942</v>
      </c>
      <c r="Q116" s="46" t="s">
        <v>999</v>
      </c>
      <c r="R116" t="b">
        <f t="shared" si="30"/>
        <v>0</v>
      </c>
      <c r="S116" t="b">
        <f t="shared" si="19"/>
        <v>1</v>
      </c>
      <c r="T116" t="b">
        <f t="shared" si="20"/>
        <v>1</v>
      </c>
      <c r="U116" s="46" t="s">
        <v>798</v>
      </c>
      <c r="V116" s="225" t="str">
        <f t="shared" si="21"/>
        <v>MUBAUH 5  04/06/2035</v>
      </c>
      <c r="W116" s="67">
        <f t="shared" si="28"/>
        <v>2.5000000000000001E-2</v>
      </c>
      <c r="X116" s="151">
        <f t="shared" si="22"/>
        <v>5000</v>
      </c>
      <c r="Y116" s="152">
        <f ca="1">((Main!$C$4-D116)*(200000*(H116/100))/360)*0.025</f>
        <v>52.777777777777786</v>
      </c>
      <c r="Z116" s="152">
        <f t="shared" ca="1" si="23"/>
        <v>5052.7777777777774</v>
      </c>
      <c r="AA116" s="153">
        <f t="shared" ca="1" si="24"/>
        <v>18556.326388888887</v>
      </c>
      <c r="AC116" s="67">
        <f t="shared" si="29"/>
        <v>2.5770000000000001E-2</v>
      </c>
      <c r="AD116" s="151">
        <f t="shared" si="25"/>
        <v>5154</v>
      </c>
      <c r="AE116">
        <f ca="1">((Main!$C$4-D116)*(200000*(H116/100))/360)*0.02577</f>
        <v>54.403333333333343</v>
      </c>
      <c r="AF116" s="152">
        <f t="shared" ca="1" si="26"/>
        <v>5208.4033333333336</v>
      </c>
      <c r="AG116" s="153">
        <f t="shared" ca="1" si="27"/>
        <v>19127.861241666666</v>
      </c>
    </row>
    <row r="117" spans="1:33" ht="12.75" customHeight="1" x14ac:dyDescent="0.35">
      <c r="A117" s="38" t="s">
        <v>485</v>
      </c>
      <c r="B117" s="46" t="s">
        <v>799</v>
      </c>
      <c r="C117" s="22" t="s">
        <v>486</v>
      </c>
      <c r="D117" s="75">
        <f t="shared" si="17"/>
        <v>45905</v>
      </c>
      <c r="E117" s="75" t="s">
        <v>616</v>
      </c>
      <c r="F117" s="74">
        <f t="shared" si="18"/>
        <v>46270</v>
      </c>
      <c r="G117" s="228"/>
      <c r="H117" s="19">
        <v>5.2789999999999999</v>
      </c>
      <c r="I117" s="71" t="s">
        <v>19</v>
      </c>
      <c r="J117" s="2" t="s">
        <v>4</v>
      </c>
      <c r="K117" s="2" t="s">
        <v>907</v>
      </c>
      <c r="L117" s="1" t="s">
        <v>487</v>
      </c>
      <c r="M117" s="67">
        <v>0.46</v>
      </c>
      <c r="N117" s="67"/>
      <c r="O117" s="87" t="s">
        <v>928</v>
      </c>
      <c r="P117" s="137" t="s">
        <v>929</v>
      </c>
      <c r="Q117" s="46" t="s">
        <v>799</v>
      </c>
      <c r="R117" t="b">
        <f t="shared" si="30"/>
        <v>1</v>
      </c>
      <c r="S117" t="b">
        <f t="shared" si="19"/>
        <v>1</v>
      </c>
      <c r="T117" t="b">
        <f t="shared" si="20"/>
        <v>1</v>
      </c>
      <c r="U117" s="46" t="s">
        <v>799</v>
      </c>
      <c r="V117" s="225" t="str">
        <f t="shared" si="21"/>
        <v>TABRED 5.279 05/03/2030</v>
      </c>
      <c r="W117" s="67">
        <f t="shared" si="28"/>
        <v>1.1500000000000002E-2</v>
      </c>
      <c r="X117" s="151">
        <f t="shared" si="22"/>
        <v>2300.0000000000005</v>
      </c>
      <c r="Y117" s="152">
        <f ca="1">((Main!$C$4-D117)*(200000*(H117/100))/360)*0.025</f>
        <v>121.71027777777779</v>
      </c>
      <c r="Z117" s="152">
        <f t="shared" ca="1" si="23"/>
        <v>2421.7102777777782</v>
      </c>
      <c r="AA117" s="153">
        <f t="shared" ca="1" si="24"/>
        <v>8893.7309951388906</v>
      </c>
      <c r="AC117" s="67">
        <f t="shared" si="29"/>
        <v>1.1854200000000001E-2</v>
      </c>
      <c r="AD117" s="151">
        <f t="shared" si="25"/>
        <v>2370.84</v>
      </c>
      <c r="AE117">
        <f ca="1">((Main!$C$4-D117)*(200000*(H117/100))/360)*0.02577</f>
        <v>125.45895433333335</v>
      </c>
      <c r="AF117" s="152">
        <f t="shared" ca="1" si="26"/>
        <v>2496.2989543333333</v>
      </c>
      <c r="AG117" s="153">
        <f t="shared" ca="1" si="27"/>
        <v>9167.6579097891663</v>
      </c>
    </row>
    <row r="118" spans="1:33" ht="12.75" customHeight="1" x14ac:dyDescent="0.35">
      <c r="A118" s="38" t="s">
        <v>388</v>
      </c>
      <c r="B118" s="46" t="s">
        <v>387</v>
      </c>
      <c r="C118" s="22" t="s">
        <v>389</v>
      </c>
      <c r="D118" s="75">
        <f t="shared" si="17"/>
        <v>46046</v>
      </c>
      <c r="E118" s="75" t="s">
        <v>589</v>
      </c>
      <c r="F118" s="74">
        <f t="shared" si="18"/>
        <v>46411</v>
      </c>
      <c r="G118" s="228"/>
      <c r="H118" s="19">
        <v>5.375</v>
      </c>
      <c r="I118" s="71" t="s">
        <v>19</v>
      </c>
      <c r="J118" s="2" t="s">
        <v>6</v>
      </c>
      <c r="K118" s="2" t="s">
        <v>737</v>
      </c>
      <c r="L118" s="65" t="s">
        <v>390</v>
      </c>
      <c r="M118" s="67">
        <v>1</v>
      </c>
      <c r="N118" s="67"/>
      <c r="O118" s="87" t="s">
        <v>939</v>
      </c>
      <c r="P118" s="137" t="s">
        <v>940</v>
      </c>
      <c r="Q118" s="46" t="s">
        <v>387</v>
      </c>
      <c r="R118" t="b">
        <f t="shared" si="30"/>
        <v>1</v>
      </c>
      <c r="S118" t="b">
        <f t="shared" si="19"/>
        <v>1</v>
      </c>
      <c r="T118" t="b">
        <f t="shared" si="20"/>
        <v>1</v>
      </c>
      <c r="U118" s="46" t="s">
        <v>387</v>
      </c>
      <c r="V118" s="225" t="str">
        <f t="shared" si="21"/>
        <v>OTELSU 5.375 24/01/2031</v>
      </c>
      <c r="W118" s="67">
        <f t="shared" si="28"/>
        <v>2.5000000000000001E-2</v>
      </c>
      <c r="X118" s="151">
        <f t="shared" si="22"/>
        <v>5000</v>
      </c>
      <c r="Y118" s="152">
        <f ca="1">((Main!$C$4-D118)*(200000*(H118/100))/360)*0.025</f>
        <v>18.663194444444446</v>
      </c>
      <c r="Z118" s="152">
        <f t="shared" ca="1" si="23"/>
        <v>5018.6631944444443</v>
      </c>
      <c r="AA118" s="153">
        <f t="shared" ca="1" si="24"/>
        <v>18431.040581597223</v>
      </c>
      <c r="AC118" s="67">
        <f t="shared" si="29"/>
        <v>2.5770000000000001E-2</v>
      </c>
      <c r="AD118" s="151">
        <f t="shared" si="25"/>
        <v>5154</v>
      </c>
      <c r="AE118">
        <f ca="1">((Main!$C$4-D118)*(200000*(H118/100))/360)*0.02577</f>
        <v>19.238020833333337</v>
      </c>
      <c r="AF118" s="152">
        <f t="shared" ca="1" si="26"/>
        <v>5173.2380208333334</v>
      </c>
      <c r="AG118" s="153">
        <f t="shared" ca="1" si="27"/>
        <v>18998.716631510415</v>
      </c>
    </row>
    <row r="119" spans="1:33" ht="12.75" customHeight="1" x14ac:dyDescent="0.35">
      <c r="A119" s="38" t="s">
        <v>383</v>
      </c>
      <c r="B119" s="46" t="s">
        <v>800</v>
      </c>
      <c r="C119" s="22" t="s">
        <v>384</v>
      </c>
      <c r="D119" s="75">
        <f t="shared" si="17"/>
        <v>45916</v>
      </c>
      <c r="E119" s="75" t="s">
        <v>622</v>
      </c>
      <c r="F119" s="74">
        <f t="shared" si="18"/>
        <v>46281</v>
      </c>
      <c r="G119" s="228"/>
      <c r="H119" s="19">
        <v>7.25</v>
      </c>
      <c r="I119" s="71" t="s">
        <v>19</v>
      </c>
      <c r="J119" s="2" t="s">
        <v>4</v>
      </c>
      <c r="K119" s="2" t="s">
        <v>749</v>
      </c>
      <c r="L119" s="27" t="s">
        <v>5</v>
      </c>
      <c r="M119" s="67">
        <v>0.45</v>
      </c>
      <c r="N119" s="67"/>
      <c r="O119" s="87" t="s">
        <v>928</v>
      </c>
      <c r="P119" s="137" t="s">
        <v>929</v>
      </c>
      <c r="Q119" s="46" t="s">
        <v>1000</v>
      </c>
      <c r="R119" t="b">
        <f t="shared" si="30"/>
        <v>0</v>
      </c>
      <c r="S119" t="b">
        <f t="shared" si="19"/>
        <v>1</v>
      </c>
      <c r="T119" t="b">
        <f t="shared" si="20"/>
        <v>1</v>
      </c>
      <c r="U119" s="46" t="s">
        <v>800</v>
      </c>
      <c r="V119" s="225" t="str">
        <f t="shared" si="21"/>
        <v>OMNIYAT 7.25 16/03/29</v>
      </c>
      <c r="W119" s="67">
        <f t="shared" si="28"/>
        <v>1.1250000000000001E-2</v>
      </c>
      <c r="X119" s="151">
        <f t="shared" si="22"/>
        <v>2250.0000000000005</v>
      </c>
      <c r="Y119" s="152">
        <f ca="1">((Main!$C$4-D119)*(200000*(H119/100))/360)*0.025</f>
        <v>156.07638888888886</v>
      </c>
      <c r="Z119" s="152">
        <f t="shared" ca="1" si="23"/>
        <v>2406.0763888888891</v>
      </c>
      <c r="AA119" s="153">
        <f t="shared" ca="1" si="24"/>
        <v>8836.3155381944453</v>
      </c>
      <c r="AC119" s="67">
        <f t="shared" si="29"/>
        <v>1.1596500000000001E-2</v>
      </c>
      <c r="AD119" s="151">
        <f t="shared" si="25"/>
        <v>2319.3000000000002</v>
      </c>
      <c r="AE119">
        <f ca="1">((Main!$C$4-D119)*(200000*(H119/100))/360)*0.02577</f>
        <v>160.88354166666662</v>
      </c>
      <c r="AF119" s="152">
        <f t="shared" ca="1" si="26"/>
        <v>2480.1835416666668</v>
      </c>
      <c r="AG119" s="153">
        <f t="shared" ca="1" si="27"/>
        <v>9108.4740567708341</v>
      </c>
    </row>
    <row r="120" spans="1:33" ht="12.75" customHeight="1" x14ac:dyDescent="0.35">
      <c r="A120" s="38" t="s">
        <v>385</v>
      </c>
      <c r="B120" s="46" t="s">
        <v>801</v>
      </c>
      <c r="C120" s="22" t="s">
        <v>386</v>
      </c>
      <c r="D120" s="75">
        <f t="shared" si="17"/>
        <v>45967</v>
      </c>
      <c r="E120" s="75" t="s">
        <v>557</v>
      </c>
      <c r="F120" s="74">
        <f t="shared" si="18"/>
        <v>46332</v>
      </c>
      <c r="G120" s="228"/>
      <c r="H120" s="19">
        <v>8.375</v>
      </c>
      <c r="I120" s="71" t="s">
        <v>19</v>
      </c>
      <c r="J120" s="2" t="s">
        <v>4</v>
      </c>
      <c r="K120" s="2" t="s">
        <v>749</v>
      </c>
      <c r="L120" s="27" t="s">
        <v>5</v>
      </c>
      <c r="M120" s="67">
        <v>0.45</v>
      </c>
      <c r="N120" s="67"/>
      <c r="O120" s="87" t="s">
        <v>928</v>
      </c>
      <c r="P120" s="137" t="s">
        <v>929</v>
      </c>
      <c r="Q120" s="46" t="s">
        <v>1000</v>
      </c>
      <c r="R120" t="b">
        <f t="shared" si="30"/>
        <v>0</v>
      </c>
      <c r="S120" t="b">
        <f t="shared" si="19"/>
        <v>1</v>
      </c>
      <c r="T120" t="b">
        <f t="shared" si="20"/>
        <v>1</v>
      </c>
      <c r="U120" s="46" t="s">
        <v>801</v>
      </c>
      <c r="V120" s="225" t="str">
        <f t="shared" si="21"/>
        <v>OMNIYAT 8.375 06/05/28</v>
      </c>
      <c r="W120" s="67">
        <f t="shared" si="28"/>
        <v>1.1250000000000001E-2</v>
      </c>
      <c r="X120" s="151">
        <f t="shared" si="22"/>
        <v>2250.0000000000005</v>
      </c>
      <c r="Y120" s="152">
        <f ca="1">((Main!$C$4-D120)*(200000*(H120/100))/360)*0.025</f>
        <v>120.97222222222223</v>
      </c>
      <c r="Z120" s="152">
        <f t="shared" ca="1" si="23"/>
        <v>2370.9722222222226</v>
      </c>
      <c r="AA120" s="153">
        <f t="shared" ca="1" si="24"/>
        <v>8707.3954861111124</v>
      </c>
      <c r="AC120" s="67">
        <f t="shared" si="29"/>
        <v>1.1596500000000001E-2</v>
      </c>
      <c r="AD120" s="151">
        <f t="shared" si="25"/>
        <v>2319.3000000000002</v>
      </c>
      <c r="AE120">
        <f ca="1">((Main!$C$4-D120)*(200000*(H120/100))/360)*0.02577</f>
        <v>124.69816666666667</v>
      </c>
      <c r="AF120" s="152">
        <f t="shared" ca="1" si="26"/>
        <v>2443.9981666666667</v>
      </c>
      <c r="AG120" s="153">
        <f t="shared" ca="1" si="27"/>
        <v>8975.5832670833333</v>
      </c>
    </row>
    <row r="121" spans="1:33" ht="12.75" customHeight="1" x14ac:dyDescent="0.35">
      <c r="A121" s="38" t="s">
        <v>394</v>
      </c>
      <c r="B121" s="46" t="s">
        <v>802</v>
      </c>
      <c r="C121" s="22" t="s">
        <v>395</v>
      </c>
      <c r="D121" s="75">
        <f t="shared" si="17"/>
        <v>45910</v>
      </c>
      <c r="E121" s="75" t="s">
        <v>640</v>
      </c>
      <c r="F121" s="74">
        <f t="shared" si="18"/>
        <v>46275</v>
      </c>
      <c r="G121" s="228"/>
      <c r="H121" s="19">
        <v>4.375</v>
      </c>
      <c r="I121" s="71" t="s">
        <v>19</v>
      </c>
      <c r="J121" s="2" t="s">
        <v>6</v>
      </c>
      <c r="K121" s="2" t="s">
        <v>733</v>
      </c>
      <c r="L121" s="27" t="s">
        <v>7</v>
      </c>
      <c r="M121" s="67">
        <v>1</v>
      </c>
      <c r="N121" s="67"/>
      <c r="O121" s="87" t="s">
        <v>941</v>
      </c>
      <c r="P121" s="137" t="s">
        <v>942</v>
      </c>
      <c r="Q121" s="46" t="s">
        <v>1001</v>
      </c>
      <c r="R121" t="b">
        <f t="shared" si="30"/>
        <v>0</v>
      </c>
      <c r="S121" t="b">
        <f t="shared" si="19"/>
        <v>1</v>
      </c>
      <c r="T121" t="b">
        <f t="shared" si="20"/>
        <v>1</v>
      </c>
      <c r="U121" s="46" t="s">
        <v>802</v>
      </c>
      <c r="V121" s="225" t="str">
        <f t="shared" si="21"/>
        <v>PIFKSA 4.375 10/09/2027</v>
      </c>
      <c r="W121" s="67">
        <f t="shared" si="28"/>
        <v>2.5000000000000001E-2</v>
      </c>
      <c r="X121" s="151">
        <f t="shared" si="22"/>
        <v>5000</v>
      </c>
      <c r="Y121" s="152">
        <f ca="1">((Main!$C$4-D121)*(200000*(H121/100))/360)*0.025</f>
        <v>97.829861111111114</v>
      </c>
      <c r="Z121" s="152">
        <f t="shared" ca="1" si="23"/>
        <v>5097.8298611111113</v>
      </c>
      <c r="AA121" s="153">
        <f t="shared" ca="1" si="24"/>
        <v>18721.780164930555</v>
      </c>
      <c r="AC121" s="67">
        <f t="shared" si="29"/>
        <v>2.5770000000000001E-2</v>
      </c>
      <c r="AD121" s="151">
        <f t="shared" si="25"/>
        <v>5154</v>
      </c>
      <c r="AE121">
        <f ca="1">((Main!$C$4-D121)*(200000*(H121/100))/360)*0.02577</f>
        <v>100.84302083333334</v>
      </c>
      <c r="AF121" s="152">
        <f t="shared" ca="1" si="26"/>
        <v>5254.843020833333</v>
      </c>
      <c r="AG121" s="153">
        <f t="shared" ca="1" si="27"/>
        <v>19298.410994010414</v>
      </c>
    </row>
    <row r="122" spans="1:33" ht="12.75" customHeight="1" x14ac:dyDescent="0.35">
      <c r="A122" s="38" t="s">
        <v>396</v>
      </c>
      <c r="B122" s="46" t="s">
        <v>803</v>
      </c>
      <c r="C122" s="22" t="s">
        <v>397</v>
      </c>
      <c r="D122" s="75">
        <f t="shared" si="17"/>
        <v>45969</v>
      </c>
      <c r="E122" s="75" t="s">
        <v>637</v>
      </c>
      <c r="F122" s="74">
        <f t="shared" si="18"/>
        <v>46334</v>
      </c>
      <c r="G122" s="228"/>
      <c r="H122" s="19">
        <v>4.875</v>
      </c>
      <c r="I122" s="71" t="s">
        <v>19</v>
      </c>
      <c r="J122" s="2" t="s">
        <v>6</v>
      </c>
      <c r="K122" s="2" t="s">
        <v>733</v>
      </c>
      <c r="L122" s="27" t="s">
        <v>7</v>
      </c>
      <c r="M122" s="67">
        <v>1</v>
      </c>
      <c r="N122" s="67"/>
      <c r="O122" s="87" t="s">
        <v>941</v>
      </c>
      <c r="P122" s="137" t="s">
        <v>942</v>
      </c>
      <c r="Q122" s="46" t="s">
        <v>1001</v>
      </c>
      <c r="R122" t="b">
        <f t="shared" si="30"/>
        <v>0</v>
      </c>
      <c r="S122" t="b">
        <f t="shared" si="19"/>
        <v>1</v>
      </c>
      <c r="T122" t="b">
        <f t="shared" si="20"/>
        <v>1</v>
      </c>
      <c r="U122" s="46" t="s">
        <v>803</v>
      </c>
      <c r="V122" s="225" t="str">
        <f t="shared" si="21"/>
        <v>PIFKSA 4.875 08/05/2032</v>
      </c>
      <c r="W122" s="67">
        <f t="shared" si="28"/>
        <v>2.5000000000000001E-2</v>
      </c>
      <c r="X122" s="151">
        <f t="shared" si="22"/>
        <v>5000</v>
      </c>
      <c r="Y122" s="152">
        <f ca="1">((Main!$C$4-D122)*(200000*(H122/100))/360)*0.025</f>
        <v>69.0625</v>
      </c>
      <c r="Z122" s="152">
        <f t="shared" ca="1" si="23"/>
        <v>5069.0625</v>
      </c>
      <c r="AA122" s="153">
        <f t="shared" ca="1" si="24"/>
        <v>18616.132031249999</v>
      </c>
      <c r="AC122" s="67">
        <f t="shared" si="29"/>
        <v>2.5770000000000001E-2</v>
      </c>
      <c r="AD122" s="151">
        <f t="shared" si="25"/>
        <v>5154</v>
      </c>
      <c r="AE122">
        <f ca="1">((Main!$C$4-D122)*(200000*(H122/100))/360)*0.02577</f>
        <v>71.189625000000007</v>
      </c>
      <c r="AF122" s="152">
        <f t="shared" ca="1" si="26"/>
        <v>5225.189625</v>
      </c>
      <c r="AG122" s="153">
        <f t="shared" ca="1" si="27"/>
        <v>19189.508897812499</v>
      </c>
    </row>
    <row r="123" spans="1:33" ht="12.75" customHeight="1" x14ac:dyDescent="0.35">
      <c r="A123" s="38" t="s">
        <v>398</v>
      </c>
      <c r="B123" s="46" t="s">
        <v>804</v>
      </c>
      <c r="C123" s="22" t="s">
        <v>399</v>
      </c>
      <c r="D123" s="75">
        <f t="shared" si="17"/>
        <v>45955</v>
      </c>
      <c r="E123" s="75" t="s">
        <v>641</v>
      </c>
      <c r="F123" s="74">
        <f t="shared" si="18"/>
        <v>46320</v>
      </c>
      <c r="G123" s="228"/>
      <c r="H123" s="19">
        <v>6</v>
      </c>
      <c r="I123" s="71" t="s">
        <v>19</v>
      </c>
      <c r="J123" s="2" t="s">
        <v>6</v>
      </c>
      <c r="K123" s="2" t="s">
        <v>733</v>
      </c>
      <c r="L123" s="27" t="s">
        <v>7</v>
      </c>
      <c r="M123" s="67">
        <v>1</v>
      </c>
      <c r="N123" s="67"/>
      <c r="O123" s="87" t="s">
        <v>941</v>
      </c>
      <c r="P123" s="137" t="s">
        <v>942</v>
      </c>
      <c r="Q123" s="46" t="s">
        <v>1001</v>
      </c>
      <c r="R123" t="b">
        <f t="shared" si="30"/>
        <v>0</v>
      </c>
      <c r="S123" t="b">
        <f t="shared" si="19"/>
        <v>1</v>
      </c>
      <c r="T123" t="b">
        <f t="shared" si="20"/>
        <v>1</v>
      </c>
      <c r="U123" s="46" t="s">
        <v>804</v>
      </c>
      <c r="V123" s="225" t="str">
        <f t="shared" si="21"/>
        <v>PIFKSA 6 25/10/2028</v>
      </c>
      <c r="W123" s="67">
        <f t="shared" si="28"/>
        <v>2.5000000000000001E-2</v>
      </c>
      <c r="X123" s="151">
        <f t="shared" si="22"/>
        <v>5000</v>
      </c>
      <c r="Y123" s="152">
        <f ca="1">((Main!$C$4-D123)*(200000*(H123/100))/360)*0.025</f>
        <v>96.666666666666671</v>
      </c>
      <c r="Z123" s="152">
        <f t="shared" ca="1" si="23"/>
        <v>5096.666666666667</v>
      </c>
      <c r="AA123" s="153">
        <f t="shared" ca="1" si="24"/>
        <v>18717.508333333335</v>
      </c>
      <c r="AC123" s="67">
        <f t="shared" si="29"/>
        <v>2.5770000000000001E-2</v>
      </c>
      <c r="AD123" s="151">
        <f t="shared" si="25"/>
        <v>5154</v>
      </c>
      <c r="AE123">
        <f ca="1">((Main!$C$4-D123)*(200000*(H123/100))/360)*0.02577</f>
        <v>99.644000000000005</v>
      </c>
      <c r="AF123" s="152">
        <f t="shared" ca="1" si="26"/>
        <v>5253.6440000000002</v>
      </c>
      <c r="AG123" s="153">
        <f t="shared" ca="1" si="27"/>
        <v>19294.007590000001</v>
      </c>
    </row>
    <row r="124" spans="1:33" ht="12.75" customHeight="1" x14ac:dyDescent="0.35">
      <c r="A124" s="38" t="s">
        <v>400</v>
      </c>
      <c r="B124" s="46" t="s">
        <v>805</v>
      </c>
      <c r="C124" s="22" t="s">
        <v>401</v>
      </c>
      <c r="D124" s="75">
        <f t="shared" si="17"/>
        <v>45905</v>
      </c>
      <c r="E124" s="75" t="s">
        <v>616</v>
      </c>
      <c r="F124" s="74">
        <f t="shared" si="18"/>
        <v>46270</v>
      </c>
      <c r="G124" s="228"/>
      <c r="H124" s="19">
        <v>5.1710000000000003</v>
      </c>
      <c r="I124" s="71" t="s">
        <v>19</v>
      </c>
      <c r="J124" s="2" t="s">
        <v>6</v>
      </c>
      <c r="K124" s="2" t="s">
        <v>733</v>
      </c>
      <c r="L124" s="27" t="s">
        <v>7</v>
      </c>
      <c r="M124" s="67">
        <v>1</v>
      </c>
      <c r="N124" s="67"/>
      <c r="O124" s="87" t="s">
        <v>941</v>
      </c>
      <c r="P124" s="137" t="s">
        <v>942</v>
      </c>
      <c r="Q124" s="46" t="s">
        <v>1001</v>
      </c>
      <c r="R124" t="b">
        <f t="shared" si="30"/>
        <v>0</v>
      </c>
      <c r="S124" t="b">
        <f t="shared" si="19"/>
        <v>1</v>
      </c>
      <c r="T124" t="b">
        <f t="shared" si="20"/>
        <v>1</v>
      </c>
      <c r="U124" s="46" t="s">
        <v>805</v>
      </c>
      <c r="V124" s="225" t="str">
        <f t="shared" si="21"/>
        <v>PIFKSA5.171 5/3/2031</v>
      </c>
      <c r="W124" s="67">
        <f t="shared" si="28"/>
        <v>2.5000000000000001E-2</v>
      </c>
      <c r="X124" s="151">
        <f t="shared" si="22"/>
        <v>5000</v>
      </c>
      <c r="Y124" s="152">
        <f ca="1">((Main!$C$4-D124)*(200000*(H124/100))/360)*0.025</f>
        <v>119.22027777777781</v>
      </c>
      <c r="Z124" s="152">
        <f t="shared" ca="1" si="23"/>
        <v>5119.2202777777775</v>
      </c>
      <c r="AA124" s="153">
        <f t="shared" ca="1" si="24"/>
        <v>18800.336470138885</v>
      </c>
      <c r="AC124" s="67">
        <f t="shared" si="29"/>
        <v>2.5770000000000001E-2</v>
      </c>
      <c r="AD124" s="151">
        <f t="shared" si="25"/>
        <v>5154</v>
      </c>
      <c r="AE124">
        <f ca="1">((Main!$C$4-D124)*(200000*(H124/100))/360)*0.02577</f>
        <v>122.89226233333336</v>
      </c>
      <c r="AF124" s="152">
        <f t="shared" ca="1" si="26"/>
        <v>5276.8922623333337</v>
      </c>
      <c r="AG124" s="153">
        <f t="shared" ca="1" si="27"/>
        <v>19379.386833419168</v>
      </c>
    </row>
    <row r="125" spans="1:33" ht="12.75" customHeight="1" x14ac:dyDescent="0.35">
      <c r="A125" s="38" t="s">
        <v>402</v>
      </c>
      <c r="B125" s="46" t="s">
        <v>806</v>
      </c>
      <c r="C125" s="22" t="s">
        <v>403</v>
      </c>
      <c r="D125" s="75">
        <f t="shared" si="17"/>
        <v>45955</v>
      </c>
      <c r="E125" s="75" t="s">
        <v>641</v>
      </c>
      <c r="F125" s="74">
        <f t="shared" si="18"/>
        <v>46320</v>
      </c>
      <c r="G125" s="228"/>
      <c r="H125" s="19">
        <v>6.25</v>
      </c>
      <c r="I125" s="71" t="s">
        <v>19</v>
      </c>
      <c r="J125" s="2" t="s">
        <v>6</v>
      </c>
      <c r="K125" s="2" t="s">
        <v>733</v>
      </c>
      <c r="L125" s="27" t="s">
        <v>7</v>
      </c>
      <c r="M125" s="67">
        <v>1</v>
      </c>
      <c r="N125" s="67"/>
      <c r="O125" s="87" t="s">
        <v>941</v>
      </c>
      <c r="P125" s="137" t="s">
        <v>942</v>
      </c>
      <c r="Q125" s="46" t="s">
        <v>806</v>
      </c>
      <c r="R125" t="b">
        <f t="shared" si="30"/>
        <v>1</v>
      </c>
      <c r="S125" t="b">
        <f t="shared" si="19"/>
        <v>1</v>
      </c>
      <c r="T125" t="b">
        <f t="shared" si="20"/>
        <v>1</v>
      </c>
      <c r="U125" s="46" t="s">
        <v>806</v>
      </c>
      <c r="V125" s="225" t="str">
        <f t="shared" si="21"/>
        <v>PIFKSA6.25 25/10/2033</v>
      </c>
      <c r="W125" s="67">
        <f t="shared" si="28"/>
        <v>2.5000000000000001E-2</v>
      </c>
      <c r="X125" s="151">
        <f t="shared" si="22"/>
        <v>5000</v>
      </c>
      <c r="Y125" s="152">
        <f ca="1">((Main!$C$4-D125)*(200000*(H125/100))/360)*0.025</f>
        <v>100.69444444444446</v>
      </c>
      <c r="Z125" s="152">
        <f t="shared" ca="1" si="23"/>
        <v>5100.6944444444443</v>
      </c>
      <c r="AA125" s="153">
        <f t="shared" ca="1" si="24"/>
        <v>18732.300347222223</v>
      </c>
      <c r="AC125" s="67">
        <f t="shared" si="29"/>
        <v>2.5770000000000001E-2</v>
      </c>
      <c r="AD125" s="151">
        <f t="shared" si="25"/>
        <v>5154</v>
      </c>
      <c r="AE125">
        <f ca="1">((Main!$C$4-D125)*(200000*(H125/100))/360)*0.02577</f>
        <v>103.79583333333333</v>
      </c>
      <c r="AF125" s="152">
        <f t="shared" ca="1" si="26"/>
        <v>5257.7958333333336</v>
      </c>
      <c r="AG125" s="153">
        <f t="shared" ca="1" si="27"/>
        <v>19309.255197916667</v>
      </c>
    </row>
    <row r="126" spans="1:33" ht="12.75" customHeight="1" x14ac:dyDescent="0.35">
      <c r="A126" s="38" t="s">
        <v>413</v>
      </c>
      <c r="B126" s="46" t="s">
        <v>807</v>
      </c>
      <c r="C126" s="22" t="s">
        <v>414</v>
      </c>
      <c r="D126" s="75">
        <f t="shared" si="17"/>
        <v>45974</v>
      </c>
      <c r="E126" s="75" t="s">
        <v>585</v>
      </c>
      <c r="F126" s="74">
        <f t="shared" si="18"/>
        <v>46339</v>
      </c>
      <c r="G126" s="228"/>
      <c r="H126" s="19">
        <v>4.5</v>
      </c>
      <c r="I126" s="71" t="s">
        <v>19</v>
      </c>
      <c r="J126" s="2" t="s">
        <v>54</v>
      </c>
      <c r="K126" s="2" t="s">
        <v>759</v>
      </c>
      <c r="L126" s="1" t="s">
        <v>338</v>
      </c>
      <c r="M126" s="67">
        <v>0.45</v>
      </c>
      <c r="N126" s="67"/>
      <c r="O126" s="87" t="s">
        <v>946</v>
      </c>
      <c r="P126" s="137" t="s">
        <v>947</v>
      </c>
      <c r="Q126" s="46" t="s">
        <v>1002</v>
      </c>
      <c r="R126" t="b">
        <f t="shared" si="30"/>
        <v>0</v>
      </c>
      <c r="S126" t="b">
        <f t="shared" si="19"/>
        <v>1</v>
      </c>
      <c r="T126" t="b">
        <f t="shared" si="20"/>
        <v>1</v>
      </c>
      <c r="U126" s="46" t="s">
        <v>807</v>
      </c>
      <c r="V126" s="225" t="str">
        <f t="shared" si="21"/>
        <v>QIIKQD 4.5 13/11/30</v>
      </c>
      <c r="W126" s="67">
        <f t="shared" si="28"/>
        <v>1.1250000000000001E-2</v>
      </c>
      <c r="X126" s="151">
        <f t="shared" si="22"/>
        <v>2250.0000000000005</v>
      </c>
      <c r="Y126" s="152">
        <f ca="1">((Main!$C$4-D126)*(200000*(H126/100))/360)*0.025</f>
        <v>60.625</v>
      </c>
      <c r="Z126" s="152">
        <f t="shared" ca="1" si="23"/>
        <v>2310.6250000000005</v>
      </c>
      <c r="AA126" s="153">
        <f t="shared" ca="1" si="24"/>
        <v>8485.7703125000007</v>
      </c>
      <c r="AC126" s="67">
        <f t="shared" si="29"/>
        <v>1.1596500000000001E-2</v>
      </c>
      <c r="AD126" s="151">
        <f t="shared" si="25"/>
        <v>2319.3000000000002</v>
      </c>
      <c r="AE126">
        <f ca="1">((Main!$C$4-D126)*(200000*(H126/100))/360)*0.02577</f>
        <v>62.492250000000006</v>
      </c>
      <c r="AF126" s="152">
        <f t="shared" ca="1" si="26"/>
        <v>2381.79225</v>
      </c>
      <c r="AG126" s="153">
        <f t="shared" ca="1" si="27"/>
        <v>8747.1320381249989</v>
      </c>
    </row>
    <row r="127" spans="1:33" ht="12.75" customHeight="1" x14ac:dyDescent="0.35">
      <c r="A127" s="38" t="s">
        <v>415</v>
      </c>
      <c r="B127" s="46" t="s">
        <v>808</v>
      </c>
      <c r="C127" s="22" t="s">
        <v>416</v>
      </c>
      <c r="D127" s="75">
        <f t="shared" si="17"/>
        <v>46046</v>
      </c>
      <c r="E127" s="75" t="s">
        <v>589</v>
      </c>
      <c r="F127" s="74">
        <f t="shared" si="18"/>
        <v>46411</v>
      </c>
      <c r="G127" s="228"/>
      <c r="H127" s="19">
        <v>5.2469999999999999</v>
      </c>
      <c r="I127" s="71" t="s">
        <v>19</v>
      </c>
      <c r="J127" s="2" t="s">
        <v>54</v>
      </c>
      <c r="K127" s="2" t="s">
        <v>759</v>
      </c>
      <c r="L127" s="1" t="s">
        <v>338</v>
      </c>
      <c r="M127" s="67">
        <v>0.45</v>
      </c>
      <c r="N127" s="67"/>
      <c r="O127" s="87" t="s">
        <v>946</v>
      </c>
      <c r="P127" s="137" t="s">
        <v>947</v>
      </c>
      <c r="Q127" s="46" t="s">
        <v>1002</v>
      </c>
      <c r="R127" t="b">
        <f t="shared" si="30"/>
        <v>0</v>
      </c>
      <c r="S127" t="b">
        <f t="shared" si="19"/>
        <v>1</v>
      </c>
      <c r="T127" t="b">
        <f t="shared" si="20"/>
        <v>1</v>
      </c>
      <c r="U127" s="46" t="s">
        <v>808</v>
      </c>
      <c r="V127" s="225" t="str">
        <f t="shared" si="21"/>
        <v>QIIKQD 5.247 24/01/2029</v>
      </c>
      <c r="W127" s="67">
        <f t="shared" si="28"/>
        <v>1.1250000000000001E-2</v>
      </c>
      <c r="X127" s="151">
        <f t="shared" si="22"/>
        <v>2250.0000000000005</v>
      </c>
      <c r="Y127" s="152">
        <f ca="1">((Main!$C$4-D127)*(200000*(H127/100))/360)*0.025</f>
        <v>18.21875</v>
      </c>
      <c r="Z127" s="152">
        <f t="shared" ca="1" si="23"/>
        <v>2268.2187500000005</v>
      </c>
      <c r="AA127" s="153">
        <f t="shared" ca="1" si="24"/>
        <v>8330.033359375002</v>
      </c>
      <c r="AC127" s="67">
        <f t="shared" si="29"/>
        <v>1.1596500000000001E-2</v>
      </c>
      <c r="AD127" s="151">
        <f t="shared" si="25"/>
        <v>2319.3000000000002</v>
      </c>
      <c r="AE127">
        <f ca="1">((Main!$C$4-D127)*(200000*(H127/100))/360)*0.02577</f>
        <v>18.779887500000001</v>
      </c>
      <c r="AF127" s="152">
        <f t="shared" ca="1" si="26"/>
        <v>2338.0798875</v>
      </c>
      <c r="AG127" s="153">
        <f t="shared" ca="1" si="27"/>
        <v>8586.5983868437506</v>
      </c>
    </row>
    <row r="128" spans="1:33" ht="12.75" customHeight="1" x14ac:dyDescent="0.35">
      <c r="A128" s="38" t="s">
        <v>417</v>
      </c>
      <c r="B128" s="46" t="s">
        <v>809</v>
      </c>
      <c r="C128" s="22" t="s">
        <v>418</v>
      </c>
      <c r="D128" s="75">
        <f t="shared" si="17"/>
        <v>45932</v>
      </c>
      <c r="E128" s="75" t="s">
        <v>597</v>
      </c>
      <c r="F128" s="74">
        <f t="shared" si="18"/>
        <v>46297</v>
      </c>
      <c r="G128" s="228"/>
      <c r="H128" s="19">
        <v>5.45</v>
      </c>
      <c r="I128" s="71" t="s">
        <v>19</v>
      </c>
      <c r="J128" s="2" t="s">
        <v>54</v>
      </c>
      <c r="K128" s="2" t="s">
        <v>759</v>
      </c>
      <c r="L128" s="1" t="s">
        <v>338</v>
      </c>
      <c r="M128" s="67">
        <v>0.45</v>
      </c>
      <c r="N128" s="67"/>
      <c r="O128" s="87" t="s">
        <v>946</v>
      </c>
      <c r="P128" s="137" t="s">
        <v>947</v>
      </c>
      <c r="Q128" s="46" t="s">
        <v>1002</v>
      </c>
      <c r="R128" t="b">
        <f t="shared" si="30"/>
        <v>0</v>
      </c>
      <c r="S128" t="b">
        <f t="shared" si="19"/>
        <v>1</v>
      </c>
      <c r="T128" t="b">
        <f t="shared" si="20"/>
        <v>1</v>
      </c>
      <c r="U128" s="46" t="s">
        <v>809</v>
      </c>
      <c r="V128" s="225" t="str">
        <f t="shared" si="21"/>
        <v>QIIKQD 5.45 02/10/2029</v>
      </c>
      <c r="W128" s="67">
        <f t="shared" si="28"/>
        <v>1.1250000000000001E-2</v>
      </c>
      <c r="X128" s="151">
        <f t="shared" si="22"/>
        <v>2250.0000000000005</v>
      </c>
      <c r="Y128" s="152">
        <f ca="1">((Main!$C$4-D128)*(200000*(H128/100))/360)*0.025</f>
        <v>105.21527777777779</v>
      </c>
      <c r="Z128" s="152">
        <f t="shared" ca="1" si="23"/>
        <v>2355.2152777777783</v>
      </c>
      <c r="AA128" s="153">
        <f t="shared" ca="1" si="24"/>
        <v>8649.528107638891</v>
      </c>
      <c r="AC128" s="67">
        <f t="shared" si="29"/>
        <v>1.1596500000000001E-2</v>
      </c>
      <c r="AD128" s="151">
        <f t="shared" si="25"/>
        <v>2319.3000000000002</v>
      </c>
      <c r="AE128">
        <f ca="1">((Main!$C$4-D128)*(200000*(H128/100))/360)*0.02577</f>
        <v>108.45590833333334</v>
      </c>
      <c r="AF128" s="152">
        <f t="shared" ca="1" si="26"/>
        <v>2427.7559083333335</v>
      </c>
      <c r="AG128" s="153">
        <f t="shared" ca="1" si="27"/>
        <v>8915.9335733541666</v>
      </c>
    </row>
    <row r="129" spans="1:33" ht="12.75" customHeight="1" x14ac:dyDescent="0.35">
      <c r="A129" s="38" t="s">
        <v>409</v>
      </c>
      <c r="B129" s="46" t="s">
        <v>810</v>
      </c>
      <c r="C129" s="22" t="s">
        <v>410</v>
      </c>
      <c r="D129" s="75">
        <f t="shared" si="17"/>
        <v>45983</v>
      </c>
      <c r="E129" s="75" t="s">
        <v>580</v>
      </c>
      <c r="F129" s="74">
        <f t="shared" si="18"/>
        <v>46348</v>
      </c>
      <c r="G129" s="228"/>
      <c r="H129" s="19">
        <v>5.5810000000000004</v>
      </c>
      <c r="I129" s="71" t="s">
        <v>19</v>
      </c>
      <c r="J129" s="158" t="s">
        <v>6</v>
      </c>
      <c r="K129" s="162" t="s">
        <v>732</v>
      </c>
      <c r="L129" s="158" t="s">
        <v>64</v>
      </c>
      <c r="M129" s="67">
        <v>0.66669999999999996</v>
      </c>
      <c r="N129" s="67"/>
      <c r="O129" s="161" t="s">
        <v>949</v>
      </c>
      <c r="P129" s="174" t="s">
        <v>962</v>
      </c>
      <c r="Q129" s="46" t="s">
        <v>1003</v>
      </c>
      <c r="R129" t="b">
        <f t="shared" si="30"/>
        <v>0</v>
      </c>
      <c r="S129" t="b">
        <f t="shared" si="19"/>
        <v>1</v>
      </c>
      <c r="T129" t="b">
        <f t="shared" si="20"/>
        <v>1</v>
      </c>
      <c r="U129" s="46" t="s">
        <v>810</v>
      </c>
      <c r="V129" s="225" t="str">
        <f t="shared" si="21"/>
        <v>QIBKQ5.581 22/11/2028</v>
      </c>
      <c r="W129" s="67">
        <f t="shared" si="28"/>
        <v>1.6667499999999998E-2</v>
      </c>
      <c r="X129" s="151">
        <f t="shared" si="22"/>
        <v>3333.4999999999995</v>
      </c>
      <c r="Y129" s="152">
        <f ca="1">((Main!$C$4-D129)*(200000*(H129/100))/360)*0.025</f>
        <v>68.212222222222223</v>
      </c>
      <c r="Z129" s="152">
        <f t="shared" ca="1" si="23"/>
        <v>3401.712222222222</v>
      </c>
      <c r="AA129" s="153">
        <f t="shared" ca="1" si="24"/>
        <v>12492.78813611111</v>
      </c>
      <c r="AC129" s="67">
        <f t="shared" si="29"/>
        <v>1.7180859E-2</v>
      </c>
      <c r="AD129" s="151">
        <f t="shared" si="25"/>
        <v>3436.1718000000001</v>
      </c>
      <c r="AE129">
        <f ca="1">((Main!$C$4-D129)*(200000*(H129/100))/360)*0.02577</f>
        <v>70.313158666666681</v>
      </c>
      <c r="AF129" s="152">
        <f t="shared" ca="1" si="26"/>
        <v>3506.4849586666669</v>
      </c>
      <c r="AG129" s="153">
        <f t="shared" ca="1" si="27"/>
        <v>12877.566010703335</v>
      </c>
    </row>
    <row r="130" spans="1:33" ht="12.75" customHeight="1" x14ac:dyDescent="0.35">
      <c r="A130" s="38" t="s">
        <v>411</v>
      </c>
      <c r="B130" s="46" t="s">
        <v>811</v>
      </c>
      <c r="C130" s="22" t="s">
        <v>412</v>
      </c>
      <c r="D130" s="75">
        <f t="shared" si="17"/>
        <v>45917</v>
      </c>
      <c r="E130" s="75" t="s">
        <v>608</v>
      </c>
      <c r="F130" s="74">
        <f t="shared" si="18"/>
        <v>46282</v>
      </c>
      <c r="G130" s="228"/>
      <c r="H130" s="19">
        <v>4.4850000000000003</v>
      </c>
      <c r="I130" s="71" t="s">
        <v>19</v>
      </c>
      <c r="J130" s="158" t="s">
        <v>6</v>
      </c>
      <c r="K130" s="162" t="s">
        <v>732</v>
      </c>
      <c r="L130" s="158" t="s">
        <v>64</v>
      </c>
      <c r="M130" s="67">
        <v>0.66669999999999996</v>
      </c>
      <c r="N130" s="67"/>
      <c r="O130" s="161" t="s">
        <v>949</v>
      </c>
      <c r="P130" s="174" t="s">
        <v>962</v>
      </c>
      <c r="Q130" s="46" t="s">
        <v>1003</v>
      </c>
      <c r="R130" t="b">
        <f t="shared" si="30"/>
        <v>0</v>
      </c>
      <c r="S130" t="b">
        <f t="shared" si="19"/>
        <v>1</v>
      </c>
      <c r="T130" t="b">
        <f t="shared" si="20"/>
        <v>1</v>
      </c>
      <c r="U130" s="46" t="s">
        <v>811</v>
      </c>
      <c r="V130" s="225" t="str">
        <f t="shared" si="21"/>
        <v>QIBKQD 4.485 17/09/2029</v>
      </c>
      <c r="W130" s="67">
        <f t="shared" si="28"/>
        <v>1.6667499999999998E-2</v>
      </c>
      <c r="X130" s="151">
        <f t="shared" si="22"/>
        <v>3333.4999999999995</v>
      </c>
      <c r="Y130" s="152">
        <f ca="1">((Main!$C$4-D130)*(200000*(H130/100))/360)*0.025</f>
        <v>95.929166666666674</v>
      </c>
      <c r="Z130" s="152">
        <f t="shared" ca="1" si="23"/>
        <v>3429.4291666666663</v>
      </c>
      <c r="AA130" s="153">
        <f t="shared" ca="1" si="24"/>
        <v>12594.578614583332</v>
      </c>
      <c r="AC130" s="67">
        <f t="shared" si="29"/>
        <v>1.7180859E-2</v>
      </c>
      <c r="AD130" s="151">
        <f t="shared" si="25"/>
        <v>3436.1718000000001</v>
      </c>
      <c r="AE130">
        <f ca="1">((Main!$C$4-D130)*(200000*(H130/100))/360)*0.02577</f>
        <v>98.883785000000003</v>
      </c>
      <c r="AF130" s="152">
        <f t="shared" ca="1" si="26"/>
        <v>3535.0555850000001</v>
      </c>
      <c r="AG130" s="153">
        <f t="shared" ca="1" si="27"/>
        <v>12982.4916359125</v>
      </c>
    </row>
    <row r="131" spans="1:33" ht="12.75" customHeight="1" x14ac:dyDescent="0.35">
      <c r="A131" s="38" t="s">
        <v>392</v>
      </c>
      <c r="B131" s="46" t="s">
        <v>391</v>
      </c>
      <c r="C131" s="22" t="s">
        <v>393</v>
      </c>
      <c r="D131" s="75">
        <f t="shared" ref="D131:D194" si="31">EDATE(E131,-6)</f>
        <v>45997</v>
      </c>
      <c r="E131" s="75" t="s">
        <v>644</v>
      </c>
      <c r="F131" s="74">
        <f t="shared" ref="F131:F194" si="32">EDATE(E131,6)</f>
        <v>46362</v>
      </c>
      <c r="G131" s="228"/>
      <c r="H131" s="19">
        <v>5.0449999999999999</v>
      </c>
      <c r="I131" s="71" t="s">
        <v>19</v>
      </c>
      <c r="J131" s="2" t="s">
        <v>4</v>
      </c>
      <c r="K131" s="2" t="s">
        <v>749</v>
      </c>
      <c r="L131" s="27" t="s">
        <v>5</v>
      </c>
      <c r="M131" s="67">
        <v>0.45</v>
      </c>
      <c r="N131" s="67"/>
      <c r="O131" s="87" t="s">
        <v>928</v>
      </c>
      <c r="P131" s="137" t="s">
        <v>929</v>
      </c>
      <c r="Q131" s="46" t="s">
        <v>391</v>
      </c>
      <c r="R131" t="b">
        <f t="shared" si="30"/>
        <v>1</v>
      </c>
      <c r="S131" t="b">
        <f t="shared" si="19"/>
        <v>1</v>
      </c>
      <c r="T131" t="b">
        <f t="shared" si="20"/>
        <v>1</v>
      </c>
      <c r="U131" s="46" t="s">
        <v>391</v>
      </c>
      <c r="V131" s="225" t="str">
        <f t="shared" si="21"/>
        <v>PHILIP 5.045 06/06/29</v>
      </c>
      <c r="W131" s="67">
        <f t="shared" si="28"/>
        <v>1.1250000000000001E-2</v>
      </c>
      <c r="X131" s="151">
        <f t="shared" si="22"/>
        <v>2250.0000000000005</v>
      </c>
      <c r="Y131" s="152">
        <f ca="1">((Main!$C$4-D131)*(200000*(H131/100))/360)*0.025</f>
        <v>51.851388888888891</v>
      </c>
      <c r="Z131" s="152">
        <f t="shared" ca="1" si="23"/>
        <v>2301.8513888888892</v>
      </c>
      <c r="AA131" s="153">
        <f t="shared" ca="1" si="24"/>
        <v>8453.5492256944453</v>
      </c>
      <c r="AC131" s="67">
        <f t="shared" si="29"/>
        <v>1.1596500000000001E-2</v>
      </c>
      <c r="AD131" s="151">
        <f t="shared" si="25"/>
        <v>2319.3000000000002</v>
      </c>
      <c r="AE131">
        <f ca="1">((Main!$C$4-D131)*(200000*(H131/100))/360)*0.02577</f>
        <v>53.448411666666672</v>
      </c>
      <c r="AF131" s="152">
        <f t="shared" ca="1" si="26"/>
        <v>2372.7484116666669</v>
      </c>
      <c r="AG131" s="153">
        <f t="shared" ca="1" si="27"/>
        <v>8713.9185418458346</v>
      </c>
    </row>
    <row r="132" spans="1:33" ht="12.75" customHeight="1" x14ac:dyDescent="0.35">
      <c r="A132" s="38" t="s">
        <v>330</v>
      </c>
      <c r="B132" s="46" t="s">
        <v>812</v>
      </c>
      <c r="C132" s="22" t="s">
        <v>331</v>
      </c>
      <c r="D132" s="75">
        <f t="shared" si="31"/>
        <v>45882</v>
      </c>
      <c r="E132" s="75" t="s">
        <v>645</v>
      </c>
      <c r="F132" s="74">
        <f t="shared" si="32"/>
        <v>46247</v>
      </c>
      <c r="G132" s="228"/>
      <c r="H132" s="19">
        <v>5.25</v>
      </c>
      <c r="I132" s="71" t="s">
        <v>19</v>
      </c>
      <c r="J132" s="2" t="s">
        <v>4</v>
      </c>
      <c r="K132" s="2" t="s">
        <v>749</v>
      </c>
      <c r="L132" s="2" t="s">
        <v>332</v>
      </c>
      <c r="M132" s="67">
        <v>0.45</v>
      </c>
      <c r="N132" s="67"/>
      <c r="O132" s="87" t="s">
        <v>928</v>
      </c>
      <c r="P132" s="137" t="s">
        <v>929</v>
      </c>
      <c r="Q132" s="46" t="s">
        <v>1004</v>
      </c>
      <c r="R132" t="b">
        <f t="shared" si="30"/>
        <v>0</v>
      </c>
      <c r="S132" t="b">
        <f t="shared" ref="S132:S195" si="33">V132=A132</f>
        <v>1</v>
      </c>
      <c r="T132" t="b">
        <f t="shared" ref="T132:T195" si="34">U132=B132</f>
        <v>1</v>
      </c>
      <c r="U132" s="46" t="s">
        <v>812</v>
      </c>
      <c r="V132" s="225" t="str">
        <f t="shared" ref="V132:V195" si="35">A132</f>
        <v>MAADEN 5.25 13/02/2030</v>
      </c>
      <c r="W132" s="67">
        <f t="shared" si="28"/>
        <v>1.1250000000000001E-2</v>
      </c>
      <c r="X132" s="151">
        <f t="shared" ref="X132:X195" si="36">200000*W132</f>
        <v>2250.0000000000005</v>
      </c>
      <c r="Y132" s="152">
        <f ca="1">((Main!$C$4-D132)*(200000*(H132/100))/360)*0.025</f>
        <v>137.8125</v>
      </c>
      <c r="Z132" s="152">
        <f t="shared" ref="Z132:Z195" ca="1" si="37">Y132+X132</f>
        <v>2387.8125000000005</v>
      </c>
      <c r="AA132" s="153">
        <f t="shared" ref="AA132:AA195" ca="1" si="38">Z132*3.6725</f>
        <v>8769.2414062500011</v>
      </c>
      <c r="AC132" s="67">
        <f t="shared" si="29"/>
        <v>1.1596500000000001E-2</v>
      </c>
      <c r="AD132" s="151">
        <f t="shared" ref="AD132:AD195" si="39">200000*AC132</f>
        <v>2319.3000000000002</v>
      </c>
      <c r="AE132">
        <f ca="1">((Main!$C$4-D132)*(200000*(H132/100))/360)*0.02577</f>
        <v>142.05712500000001</v>
      </c>
      <c r="AF132" s="152">
        <f t="shared" ref="AF132:AF195" ca="1" si="40">AE132+AD132</f>
        <v>2461.357125</v>
      </c>
      <c r="AG132" s="153">
        <f t="shared" ref="AG132:AG195" ca="1" si="41">AF132*3.6725</f>
        <v>9039.3340415624989</v>
      </c>
    </row>
    <row r="133" spans="1:33" ht="12.75" customHeight="1" x14ac:dyDescent="0.35">
      <c r="A133" s="38" t="s">
        <v>333</v>
      </c>
      <c r="B133" s="46" t="s">
        <v>813</v>
      </c>
      <c r="C133" s="22" t="s">
        <v>334</v>
      </c>
      <c r="D133" s="75">
        <f t="shared" si="31"/>
        <v>45882</v>
      </c>
      <c r="E133" s="75" t="s">
        <v>645</v>
      </c>
      <c r="F133" s="74">
        <f t="shared" si="32"/>
        <v>46247</v>
      </c>
      <c r="G133" s="228"/>
      <c r="H133" s="19">
        <v>5.5</v>
      </c>
      <c r="I133" s="71" t="s">
        <v>19</v>
      </c>
      <c r="J133" s="2" t="s">
        <v>4</v>
      </c>
      <c r="K133" s="2" t="s">
        <v>749</v>
      </c>
      <c r="L133" s="2" t="s">
        <v>332</v>
      </c>
      <c r="M133" s="67">
        <v>0.45</v>
      </c>
      <c r="N133" s="67"/>
      <c r="O133" s="87" t="s">
        <v>928</v>
      </c>
      <c r="P133" s="137" t="s">
        <v>929</v>
      </c>
      <c r="Q133" s="46" t="s">
        <v>1004</v>
      </c>
      <c r="R133" t="b">
        <f t="shared" si="30"/>
        <v>0</v>
      </c>
      <c r="S133" t="b">
        <f t="shared" si="33"/>
        <v>1</v>
      </c>
      <c r="T133" t="b">
        <f t="shared" si="34"/>
        <v>1</v>
      </c>
      <c r="U133" s="46" t="s">
        <v>813</v>
      </c>
      <c r="V133" s="225" t="str">
        <f t="shared" si="35"/>
        <v>MAADEN 5.5 13/02/2035</v>
      </c>
      <c r="W133" s="67">
        <f t="shared" ref="W133:W196" si="42">M133*0.025</f>
        <v>1.1250000000000001E-2</v>
      </c>
      <c r="X133" s="151">
        <f t="shared" si="36"/>
        <v>2250.0000000000005</v>
      </c>
      <c r="Y133" s="152">
        <f ca="1">((Main!$C$4-D133)*(200000*(H133/100))/360)*0.025</f>
        <v>144.375</v>
      </c>
      <c r="Z133" s="152">
        <f t="shared" ca="1" si="37"/>
        <v>2394.3750000000005</v>
      </c>
      <c r="AA133" s="153">
        <f t="shared" ca="1" si="38"/>
        <v>8793.3421875000022</v>
      </c>
      <c r="AC133" s="67">
        <f t="shared" ref="AC133:AC196" si="43">M133*0.02577</f>
        <v>1.1596500000000001E-2</v>
      </c>
      <c r="AD133" s="151">
        <f t="shared" si="39"/>
        <v>2319.3000000000002</v>
      </c>
      <c r="AE133">
        <f ca="1">((Main!$C$4-D133)*(200000*(H133/100))/360)*0.02577</f>
        <v>148.82175000000001</v>
      </c>
      <c r="AF133" s="152">
        <f t="shared" ca="1" si="40"/>
        <v>2468.1217500000002</v>
      </c>
      <c r="AG133" s="153">
        <f t="shared" ca="1" si="41"/>
        <v>9064.1771268749999</v>
      </c>
    </row>
    <row r="134" spans="1:33" ht="12.75" customHeight="1" x14ac:dyDescent="0.35">
      <c r="A134" s="38" t="s">
        <v>85</v>
      </c>
      <c r="B134" s="46" t="s">
        <v>814</v>
      </c>
      <c r="C134" s="22" t="s">
        <v>86</v>
      </c>
      <c r="D134" s="75">
        <f t="shared" si="31"/>
        <v>46008</v>
      </c>
      <c r="E134" s="75" t="s">
        <v>559</v>
      </c>
      <c r="F134" s="74">
        <f t="shared" si="32"/>
        <v>46373</v>
      </c>
      <c r="G134" s="228"/>
      <c r="H134" s="19">
        <v>1.6020000000000001</v>
      </c>
      <c r="I134" s="71" t="s">
        <v>19</v>
      </c>
      <c r="J134" s="2" t="s">
        <v>4</v>
      </c>
      <c r="K134" s="2" t="s">
        <v>749</v>
      </c>
      <c r="L134" s="2" t="s">
        <v>87</v>
      </c>
      <c r="M134" s="67">
        <v>0.45</v>
      </c>
      <c r="N134" s="67"/>
      <c r="O134" s="87" t="s">
        <v>928</v>
      </c>
      <c r="P134" s="137" t="s">
        <v>929</v>
      </c>
      <c r="Q134" s="46" t="s">
        <v>1005</v>
      </c>
      <c r="R134" t="b">
        <f t="shared" si="30"/>
        <v>0</v>
      </c>
      <c r="S134" t="b">
        <f t="shared" si="33"/>
        <v>1</v>
      </c>
      <c r="T134" t="b">
        <f t="shared" si="34"/>
        <v>1</v>
      </c>
      <c r="U134" s="46" t="s">
        <v>814</v>
      </c>
      <c r="V134" s="225" t="str">
        <f t="shared" si="35"/>
        <v>ARAMCO 1.602 17-JUN-26</v>
      </c>
      <c r="W134" s="67">
        <f t="shared" si="42"/>
        <v>1.1250000000000001E-2</v>
      </c>
      <c r="X134" s="151">
        <f t="shared" si="36"/>
        <v>2250.0000000000005</v>
      </c>
      <c r="Y134" s="152">
        <f ca="1">((Main!$C$4-D134)*(200000*(H134/100))/360)*0.025</f>
        <v>14.017500000000002</v>
      </c>
      <c r="Z134" s="152">
        <f t="shared" ca="1" si="37"/>
        <v>2264.0175000000004</v>
      </c>
      <c r="AA134" s="153">
        <f t="shared" ca="1" si="38"/>
        <v>8314.6042687500012</v>
      </c>
      <c r="AC134" s="67">
        <f t="shared" si="43"/>
        <v>1.1596500000000001E-2</v>
      </c>
      <c r="AD134" s="151">
        <f t="shared" si="39"/>
        <v>2319.3000000000002</v>
      </c>
      <c r="AE134">
        <f ca="1">((Main!$C$4-D134)*(200000*(H134/100))/360)*0.02577</f>
        <v>14.449239000000002</v>
      </c>
      <c r="AF134" s="152">
        <f t="shared" ca="1" si="40"/>
        <v>2333.7492390000002</v>
      </c>
      <c r="AG134" s="153">
        <f t="shared" ca="1" si="41"/>
        <v>8570.6940802275003</v>
      </c>
    </row>
    <row r="135" spans="1:33" ht="12.75" customHeight="1" x14ac:dyDescent="0.35">
      <c r="A135" s="38" t="s">
        <v>88</v>
      </c>
      <c r="B135" s="46" t="s">
        <v>815</v>
      </c>
      <c r="C135" s="22" t="s">
        <v>89</v>
      </c>
      <c r="D135" s="75">
        <f t="shared" si="31"/>
        <v>46008</v>
      </c>
      <c r="E135" s="75" t="s">
        <v>559</v>
      </c>
      <c r="F135" s="74">
        <f t="shared" si="32"/>
        <v>46373</v>
      </c>
      <c r="G135" s="228"/>
      <c r="H135" s="19">
        <v>2.694</v>
      </c>
      <c r="I135" s="71" t="s">
        <v>19</v>
      </c>
      <c r="J135" s="2" t="s">
        <v>4</v>
      </c>
      <c r="K135" s="2" t="s">
        <v>749</v>
      </c>
      <c r="L135" s="2" t="s">
        <v>87</v>
      </c>
      <c r="M135" s="67">
        <v>0.45</v>
      </c>
      <c r="N135" s="67"/>
      <c r="O135" s="87" t="s">
        <v>928</v>
      </c>
      <c r="P135" s="137" t="s">
        <v>929</v>
      </c>
      <c r="Q135" s="46" t="s">
        <v>1005</v>
      </c>
      <c r="R135" t="b">
        <f t="shared" si="30"/>
        <v>0</v>
      </c>
      <c r="S135" t="b">
        <f t="shared" si="33"/>
        <v>1</v>
      </c>
      <c r="T135" t="b">
        <f t="shared" si="34"/>
        <v>1</v>
      </c>
      <c r="U135" s="46" t="s">
        <v>815</v>
      </c>
      <c r="V135" s="225" t="str">
        <f t="shared" si="35"/>
        <v>ARAMCO 2.694 17-JUN-31</v>
      </c>
      <c r="W135" s="67">
        <f t="shared" si="42"/>
        <v>1.1250000000000001E-2</v>
      </c>
      <c r="X135" s="151">
        <f t="shared" si="36"/>
        <v>2250.0000000000005</v>
      </c>
      <c r="Y135" s="152">
        <f ca="1">((Main!$C$4-D135)*(200000*(H135/100))/360)*0.025</f>
        <v>23.572500000000002</v>
      </c>
      <c r="Z135" s="152">
        <f t="shared" ca="1" si="37"/>
        <v>2273.5725000000007</v>
      </c>
      <c r="AA135" s="153">
        <f t="shared" ca="1" si="38"/>
        <v>8349.6950062500018</v>
      </c>
      <c r="AC135" s="67">
        <f t="shared" si="43"/>
        <v>1.1596500000000001E-2</v>
      </c>
      <c r="AD135" s="151">
        <f t="shared" si="39"/>
        <v>2319.3000000000002</v>
      </c>
      <c r="AE135">
        <f ca="1">((Main!$C$4-D135)*(200000*(H135/100))/360)*0.02577</f>
        <v>24.298532999999999</v>
      </c>
      <c r="AF135" s="152">
        <f t="shared" ca="1" si="40"/>
        <v>2343.5985330000003</v>
      </c>
      <c r="AG135" s="153">
        <f t="shared" ca="1" si="41"/>
        <v>8606.8656124425015</v>
      </c>
    </row>
    <row r="136" spans="1:33" ht="12.75" customHeight="1" x14ac:dyDescent="0.35">
      <c r="A136" s="38" t="s">
        <v>90</v>
      </c>
      <c r="B136" s="46" t="s">
        <v>816</v>
      </c>
      <c r="C136" s="22" t="s">
        <v>91</v>
      </c>
      <c r="D136" s="75">
        <f t="shared" si="31"/>
        <v>45917</v>
      </c>
      <c r="E136" s="75" t="s">
        <v>608</v>
      </c>
      <c r="F136" s="74">
        <f t="shared" si="32"/>
        <v>46282</v>
      </c>
      <c r="G136" s="228"/>
      <c r="H136" s="19">
        <f>4+1/8</f>
        <v>4.125</v>
      </c>
      <c r="I136" s="71" t="s">
        <v>19</v>
      </c>
      <c r="J136" s="2" t="s">
        <v>4</v>
      </c>
      <c r="K136" s="2" t="s">
        <v>749</v>
      </c>
      <c r="L136" s="2" t="s">
        <v>87</v>
      </c>
      <c r="M136" s="67">
        <v>0.45</v>
      </c>
      <c r="N136" s="67"/>
      <c r="O136" s="87" t="s">
        <v>928</v>
      </c>
      <c r="P136" s="137" t="s">
        <v>929</v>
      </c>
      <c r="Q136" s="46" t="s">
        <v>1005</v>
      </c>
      <c r="R136" t="b">
        <f t="shared" si="30"/>
        <v>0</v>
      </c>
      <c r="S136" t="b">
        <f t="shared" si="33"/>
        <v>1</v>
      </c>
      <c r="T136" t="b">
        <f t="shared" si="34"/>
        <v>1</v>
      </c>
      <c r="U136" s="46" t="s">
        <v>816</v>
      </c>
      <c r="V136" s="225" t="str">
        <f t="shared" si="35"/>
        <v>ARAMCO 4 ⅛ 09/17/30 REGS</v>
      </c>
      <c r="W136" s="67">
        <f t="shared" si="42"/>
        <v>1.1250000000000001E-2</v>
      </c>
      <c r="X136" s="151">
        <f t="shared" si="36"/>
        <v>2250.0000000000005</v>
      </c>
      <c r="Y136" s="152">
        <f ca="1">((Main!$C$4-D136)*(200000*(H136/100))/360)*0.025</f>
        <v>88.229166666666671</v>
      </c>
      <c r="Z136" s="152">
        <f t="shared" ca="1" si="37"/>
        <v>2338.229166666667</v>
      </c>
      <c r="AA136" s="153">
        <f t="shared" ca="1" si="38"/>
        <v>8587.1466145833347</v>
      </c>
      <c r="AC136" s="67">
        <f t="shared" si="43"/>
        <v>1.1596500000000001E-2</v>
      </c>
      <c r="AD136" s="151">
        <f t="shared" si="39"/>
        <v>2319.3000000000002</v>
      </c>
      <c r="AE136">
        <f ca="1">((Main!$C$4-D136)*(200000*(H136/100))/360)*0.02577</f>
        <v>90.946624999999997</v>
      </c>
      <c r="AF136" s="152">
        <f t="shared" ca="1" si="40"/>
        <v>2410.2466250000002</v>
      </c>
      <c r="AG136" s="153">
        <f t="shared" ca="1" si="41"/>
        <v>8851.6307303125013</v>
      </c>
    </row>
    <row r="137" spans="1:33" ht="12.75" customHeight="1" x14ac:dyDescent="0.35">
      <c r="A137" s="38" t="s">
        <v>92</v>
      </c>
      <c r="B137" s="46" t="s">
        <v>817</v>
      </c>
      <c r="C137" s="22" t="s">
        <v>93</v>
      </c>
      <c r="D137" s="75">
        <f t="shared" si="31"/>
        <v>45932</v>
      </c>
      <c r="E137" s="75" t="s">
        <v>597</v>
      </c>
      <c r="F137" s="74">
        <f t="shared" si="32"/>
        <v>46297</v>
      </c>
      <c r="G137" s="228"/>
      <c r="H137" s="19">
        <v>4.25</v>
      </c>
      <c r="I137" s="71" t="s">
        <v>19</v>
      </c>
      <c r="J137" s="2" t="s">
        <v>4</v>
      </c>
      <c r="K137" s="2" t="s">
        <v>749</v>
      </c>
      <c r="L137" s="2" t="s">
        <v>87</v>
      </c>
      <c r="M137" s="67">
        <v>0.45</v>
      </c>
      <c r="N137" s="67"/>
      <c r="O137" s="87" t="s">
        <v>928</v>
      </c>
      <c r="P137" s="137" t="s">
        <v>929</v>
      </c>
      <c r="Q137" s="46" t="s">
        <v>1005</v>
      </c>
      <c r="R137" t="b">
        <f t="shared" si="30"/>
        <v>0</v>
      </c>
      <c r="S137" t="b">
        <f t="shared" si="33"/>
        <v>1</v>
      </c>
      <c r="T137" t="b">
        <f t="shared" si="34"/>
        <v>1</v>
      </c>
      <c r="U137" s="46" t="s">
        <v>817</v>
      </c>
      <c r="V137" s="225" t="str">
        <f t="shared" si="35"/>
        <v>ARAMCO 4.25 02/10/2029</v>
      </c>
      <c r="W137" s="67">
        <f t="shared" si="42"/>
        <v>1.1250000000000001E-2</v>
      </c>
      <c r="X137" s="151">
        <f t="shared" si="36"/>
        <v>2250.0000000000005</v>
      </c>
      <c r="Y137" s="152">
        <f ca="1">((Main!$C$4-D137)*(200000*(H137/100))/360)*0.025</f>
        <v>82.048611111111114</v>
      </c>
      <c r="Z137" s="152">
        <f t="shared" ca="1" si="37"/>
        <v>2332.0486111111118</v>
      </c>
      <c r="AA137" s="153">
        <f t="shared" ca="1" si="38"/>
        <v>8564.4485243055569</v>
      </c>
      <c r="AC137" s="67">
        <f t="shared" si="43"/>
        <v>1.1596500000000001E-2</v>
      </c>
      <c r="AD137" s="151">
        <f t="shared" si="39"/>
        <v>2319.3000000000002</v>
      </c>
      <c r="AE137">
        <f ca="1">((Main!$C$4-D137)*(200000*(H137/100))/360)*0.02577</f>
        <v>84.575708333333338</v>
      </c>
      <c r="AF137" s="152">
        <f t="shared" ca="1" si="40"/>
        <v>2403.8757083333335</v>
      </c>
      <c r="AG137" s="153">
        <f t="shared" ca="1" si="41"/>
        <v>8828.2335388541669</v>
      </c>
    </row>
    <row r="138" spans="1:33" ht="12.75" customHeight="1" x14ac:dyDescent="0.35">
      <c r="A138" s="38" t="s">
        <v>94</v>
      </c>
      <c r="B138" s="46" t="s">
        <v>818</v>
      </c>
      <c r="C138" s="22" t="s">
        <v>95</v>
      </c>
      <c r="D138" s="75">
        <f t="shared" si="31"/>
        <v>45917</v>
      </c>
      <c r="E138" s="75" t="s">
        <v>608</v>
      </c>
      <c r="F138" s="74">
        <f t="shared" si="32"/>
        <v>46282</v>
      </c>
      <c r="G138" s="228"/>
      <c r="H138" s="19">
        <v>4.625</v>
      </c>
      <c r="I138" s="71" t="s">
        <v>19</v>
      </c>
      <c r="J138" s="2" t="s">
        <v>4</v>
      </c>
      <c r="K138" s="2" t="s">
        <v>749</v>
      </c>
      <c r="L138" s="2" t="s">
        <v>87</v>
      </c>
      <c r="M138" s="67">
        <v>0.45</v>
      </c>
      <c r="N138" s="67"/>
      <c r="O138" s="87" t="s">
        <v>928</v>
      </c>
      <c r="P138" s="137" t="s">
        <v>929</v>
      </c>
      <c r="Q138" s="46" t="s">
        <v>1005</v>
      </c>
      <c r="R138" t="b">
        <f t="shared" si="30"/>
        <v>0</v>
      </c>
      <c r="S138" t="b">
        <f t="shared" si="33"/>
        <v>1</v>
      </c>
      <c r="T138" t="b">
        <f t="shared" si="34"/>
        <v>1</v>
      </c>
      <c r="U138" s="46" t="s">
        <v>818</v>
      </c>
      <c r="V138" s="225" t="str">
        <f t="shared" si="35"/>
        <v>ARAMCO 4.625 17-09-35</v>
      </c>
      <c r="W138" s="67">
        <f t="shared" si="42"/>
        <v>1.1250000000000001E-2</v>
      </c>
      <c r="X138" s="151">
        <f t="shared" si="36"/>
        <v>2250.0000000000005</v>
      </c>
      <c r="Y138" s="152">
        <f ca="1">((Main!$C$4-D138)*(200000*(H138/100))/360)*0.025</f>
        <v>98.923611111111114</v>
      </c>
      <c r="Z138" s="152">
        <f t="shared" ca="1" si="37"/>
        <v>2348.9236111111118</v>
      </c>
      <c r="AA138" s="153">
        <f t="shared" ca="1" si="38"/>
        <v>8626.4219618055577</v>
      </c>
      <c r="AC138" s="67">
        <f t="shared" si="43"/>
        <v>1.1596500000000001E-2</v>
      </c>
      <c r="AD138" s="151">
        <f t="shared" si="39"/>
        <v>2319.3000000000002</v>
      </c>
      <c r="AE138">
        <f ca="1">((Main!$C$4-D138)*(200000*(H138/100))/360)*0.02577</f>
        <v>101.97045833333334</v>
      </c>
      <c r="AF138" s="152">
        <f t="shared" ca="1" si="40"/>
        <v>2421.2704583333334</v>
      </c>
      <c r="AG138" s="153">
        <f t="shared" ca="1" si="41"/>
        <v>8892.1157582291671</v>
      </c>
    </row>
    <row r="139" spans="1:33" ht="12.75" customHeight="1" x14ac:dyDescent="0.35">
      <c r="A139" s="38" t="s">
        <v>96</v>
      </c>
      <c r="B139" s="46" t="s">
        <v>819</v>
      </c>
      <c r="C139" s="22" t="s">
        <v>97</v>
      </c>
      <c r="D139" s="75">
        <f t="shared" si="31"/>
        <v>45932</v>
      </c>
      <c r="E139" s="75" t="s">
        <v>597</v>
      </c>
      <c r="F139" s="74">
        <f t="shared" si="32"/>
        <v>46297</v>
      </c>
      <c r="G139" s="228"/>
      <c r="H139" s="19">
        <v>4.75</v>
      </c>
      <c r="I139" s="71" t="s">
        <v>19</v>
      </c>
      <c r="J139" s="2" t="s">
        <v>4</v>
      </c>
      <c r="K139" s="2" t="s">
        <v>749</v>
      </c>
      <c r="L139" s="2" t="s">
        <v>87</v>
      </c>
      <c r="M139" s="67">
        <v>0.45</v>
      </c>
      <c r="N139" s="67"/>
      <c r="O139" s="87" t="s">
        <v>928</v>
      </c>
      <c r="P139" s="137" t="s">
        <v>929</v>
      </c>
      <c r="Q139" s="46" t="s">
        <v>1005</v>
      </c>
      <c r="R139" t="b">
        <f t="shared" si="30"/>
        <v>0</v>
      </c>
      <c r="S139" t="b">
        <f t="shared" si="33"/>
        <v>1</v>
      </c>
      <c r="T139" t="b">
        <f t="shared" si="34"/>
        <v>1</v>
      </c>
      <c r="U139" s="46" t="s">
        <v>819</v>
      </c>
      <c r="V139" s="225" t="str">
        <f t="shared" si="35"/>
        <v>ARAMCO 4.75 02/10/2034</v>
      </c>
      <c r="W139" s="67">
        <f t="shared" si="42"/>
        <v>1.1250000000000001E-2</v>
      </c>
      <c r="X139" s="151">
        <f t="shared" si="36"/>
        <v>2250.0000000000005</v>
      </c>
      <c r="Y139" s="152">
        <f ca="1">((Main!$C$4-D139)*(200000*(H139/100))/360)*0.025</f>
        <v>91.7013888888889</v>
      </c>
      <c r="Z139" s="152">
        <f t="shared" ca="1" si="37"/>
        <v>2341.7013888888891</v>
      </c>
      <c r="AA139" s="153">
        <f t="shared" ca="1" si="38"/>
        <v>8599.898350694446</v>
      </c>
      <c r="AC139" s="67">
        <f t="shared" si="43"/>
        <v>1.1596500000000001E-2</v>
      </c>
      <c r="AD139" s="151">
        <f t="shared" si="39"/>
        <v>2319.3000000000002</v>
      </c>
      <c r="AE139">
        <f ca="1">((Main!$C$4-D139)*(200000*(H139/100))/360)*0.02577</f>
        <v>94.525791666666677</v>
      </c>
      <c r="AF139" s="152">
        <f t="shared" ca="1" si="40"/>
        <v>2413.8257916666666</v>
      </c>
      <c r="AG139" s="153">
        <f t="shared" ca="1" si="41"/>
        <v>8864.7752198958333</v>
      </c>
    </row>
    <row r="140" spans="1:33" ht="12.75" customHeight="1" x14ac:dyDescent="0.35">
      <c r="A140" s="38" t="s">
        <v>430</v>
      </c>
      <c r="B140" s="46" t="s">
        <v>820</v>
      </c>
      <c r="C140" s="22" t="s">
        <v>431</v>
      </c>
      <c r="D140" s="75">
        <f t="shared" si="31"/>
        <v>45938</v>
      </c>
      <c r="E140" s="75" t="s">
        <v>646</v>
      </c>
      <c r="F140" s="74">
        <f t="shared" si="32"/>
        <v>46303</v>
      </c>
      <c r="G140" s="228"/>
      <c r="H140" s="19">
        <v>5.5</v>
      </c>
      <c r="I140" s="71" t="s">
        <v>19</v>
      </c>
      <c r="J140" s="2" t="s">
        <v>8</v>
      </c>
      <c r="K140" s="60" t="s">
        <v>746</v>
      </c>
      <c r="L140" s="2" t="s">
        <v>18</v>
      </c>
      <c r="M140" s="67">
        <v>0</v>
      </c>
      <c r="N140" s="67"/>
      <c r="O140" s="144" t="s">
        <v>933</v>
      </c>
      <c r="P140" s="145" t="s">
        <v>927</v>
      </c>
      <c r="Q140" s="46" t="s">
        <v>1006</v>
      </c>
      <c r="R140" t="b">
        <f t="shared" si="30"/>
        <v>0</v>
      </c>
      <c r="S140" t="b">
        <f t="shared" si="33"/>
        <v>1</v>
      </c>
      <c r="T140" t="b">
        <f t="shared" si="34"/>
        <v>1</v>
      </c>
      <c r="U140" s="46" t="s">
        <v>820</v>
      </c>
      <c r="V140" s="225" t="str">
        <f t="shared" si="35"/>
        <v>Saudi Elec 5.5-04/44</v>
      </c>
      <c r="W140" s="67">
        <f t="shared" si="42"/>
        <v>0</v>
      </c>
      <c r="X140" s="151">
        <f t="shared" si="36"/>
        <v>0</v>
      </c>
      <c r="Y140" s="152">
        <f ca="1">((Main!$C$4-D140)*(200000*(H140/100))/360)*0.025</f>
        <v>101.59722222222223</v>
      </c>
      <c r="Z140" s="152">
        <f t="shared" ca="1" si="37"/>
        <v>101.59722222222223</v>
      </c>
      <c r="AA140" s="153">
        <f t="shared" ca="1" si="38"/>
        <v>373.11579861111113</v>
      </c>
      <c r="AC140" s="67">
        <f t="shared" si="43"/>
        <v>0</v>
      </c>
      <c r="AD140" s="151">
        <f t="shared" si="39"/>
        <v>0</v>
      </c>
      <c r="AE140">
        <f ca="1">((Main!$C$4-D140)*(200000*(H140/100))/360)*0.02577</f>
        <v>104.72641666666667</v>
      </c>
      <c r="AF140" s="152">
        <f t="shared" ca="1" si="40"/>
        <v>104.72641666666667</v>
      </c>
      <c r="AG140" s="153">
        <f t="shared" ca="1" si="41"/>
        <v>384.60776520833332</v>
      </c>
    </row>
    <row r="141" spans="1:33" ht="12.75" customHeight="1" x14ac:dyDescent="0.35">
      <c r="A141" s="38" t="s">
        <v>449</v>
      </c>
      <c r="B141" s="46" t="s">
        <v>829</v>
      </c>
      <c r="C141" s="22" t="s">
        <v>450</v>
      </c>
      <c r="D141" s="75">
        <f t="shared" si="31"/>
        <v>45941</v>
      </c>
      <c r="E141" s="75" t="s">
        <v>648</v>
      </c>
      <c r="F141" s="74">
        <f t="shared" si="32"/>
        <v>46306</v>
      </c>
      <c r="G141" s="228"/>
      <c r="H141" s="19">
        <v>5.6840000000000002</v>
      </c>
      <c r="I141" s="71" t="s">
        <v>19</v>
      </c>
      <c r="J141" s="2" t="s">
        <v>4</v>
      </c>
      <c r="K141" s="2" t="s">
        <v>749</v>
      </c>
      <c r="L141" s="2" t="s">
        <v>10</v>
      </c>
      <c r="M141" s="67">
        <v>0.45</v>
      </c>
      <c r="N141" s="67"/>
      <c r="O141" s="87" t="s">
        <v>928</v>
      </c>
      <c r="P141" s="137" t="s">
        <v>929</v>
      </c>
      <c r="Q141" s="46" t="s">
        <v>1006</v>
      </c>
      <c r="R141" t="b">
        <f t="shared" si="30"/>
        <v>0</v>
      </c>
      <c r="S141" t="b">
        <f t="shared" si="33"/>
        <v>1</v>
      </c>
      <c r="T141" t="b">
        <f t="shared" si="34"/>
        <v>1</v>
      </c>
      <c r="U141" s="46" t="s">
        <v>829</v>
      </c>
      <c r="V141" s="225" t="str">
        <f t="shared" si="35"/>
        <v>SECO-5.684 11/04/53</v>
      </c>
      <c r="W141" s="67">
        <f t="shared" si="42"/>
        <v>1.1250000000000001E-2</v>
      </c>
      <c r="X141" s="151">
        <f t="shared" si="36"/>
        <v>2250.0000000000005</v>
      </c>
      <c r="Y141" s="152">
        <f ca="1">((Main!$C$4-D141)*(200000*(H141/100))/360)*0.025</f>
        <v>102.62777777777779</v>
      </c>
      <c r="Z141" s="152">
        <f t="shared" ca="1" si="37"/>
        <v>2352.6277777777782</v>
      </c>
      <c r="AA141" s="153">
        <f t="shared" ca="1" si="38"/>
        <v>8640.0255138888897</v>
      </c>
      <c r="AC141" s="67">
        <f t="shared" si="43"/>
        <v>1.1596500000000001E-2</v>
      </c>
      <c r="AD141" s="151">
        <f t="shared" si="39"/>
        <v>2319.3000000000002</v>
      </c>
      <c r="AE141">
        <f ca="1">((Main!$C$4-D141)*(200000*(H141/100))/360)*0.02577</f>
        <v>105.78871333333335</v>
      </c>
      <c r="AF141" s="152">
        <f t="shared" ca="1" si="40"/>
        <v>2425.0887133333335</v>
      </c>
      <c r="AG141" s="153">
        <f t="shared" ca="1" si="41"/>
        <v>8906.1382997166675</v>
      </c>
    </row>
    <row r="142" spans="1:33" ht="12.75" customHeight="1" x14ac:dyDescent="0.35">
      <c r="A142" s="38" t="s">
        <v>432</v>
      </c>
      <c r="B142" s="46" t="s">
        <v>821</v>
      </c>
      <c r="C142" s="22" t="s">
        <v>433</v>
      </c>
      <c r="D142" s="75">
        <f t="shared" si="31"/>
        <v>45927</v>
      </c>
      <c r="E142" s="75" t="s">
        <v>647</v>
      </c>
      <c r="F142" s="74">
        <f t="shared" si="32"/>
        <v>46292</v>
      </c>
      <c r="G142" s="228"/>
      <c r="H142" s="19">
        <v>4.7229999999999999</v>
      </c>
      <c r="I142" s="71" t="s">
        <v>19</v>
      </c>
      <c r="J142" s="2" t="s">
        <v>8</v>
      </c>
      <c r="K142" s="60" t="s">
        <v>747</v>
      </c>
      <c r="L142" s="2" t="s">
        <v>434</v>
      </c>
      <c r="M142" s="67">
        <v>0</v>
      </c>
      <c r="N142" s="67"/>
      <c r="O142" s="87" t="s">
        <v>933</v>
      </c>
      <c r="P142" s="137" t="s">
        <v>927</v>
      </c>
      <c r="Q142" s="46" t="s">
        <v>1006</v>
      </c>
      <c r="R142" t="b">
        <f t="shared" si="30"/>
        <v>0</v>
      </c>
      <c r="S142" t="b">
        <f t="shared" si="33"/>
        <v>1</v>
      </c>
      <c r="T142" t="b">
        <f t="shared" si="34"/>
        <v>1</v>
      </c>
      <c r="U142" s="46" t="s">
        <v>821</v>
      </c>
      <c r="V142" s="225" t="str">
        <f t="shared" si="35"/>
        <v>Saudi Elect-4.723-09/28</v>
      </c>
      <c r="W142" s="67">
        <f t="shared" si="42"/>
        <v>0</v>
      </c>
      <c r="X142" s="151">
        <f t="shared" si="36"/>
        <v>0</v>
      </c>
      <c r="Y142" s="152">
        <f ca="1">((Main!$C$4-D142)*(200000*(H142/100))/360)*0.025</f>
        <v>94.460000000000008</v>
      </c>
      <c r="Z142" s="152">
        <f t="shared" ca="1" si="37"/>
        <v>94.460000000000008</v>
      </c>
      <c r="AA142" s="153">
        <f t="shared" ca="1" si="38"/>
        <v>346.90435000000002</v>
      </c>
      <c r="AC142" s="67">
        <f t="shared" si="43"/>
        <v>0</v>
      </c>
      <c r="AD142" s="151">
        <f t="shared" si="39"/>
        <v>0</v>
      </c>
      <c r="AE142">
        <f ca="1">((Main!$C$4-D142)*(200000*(H142/100))/360)*0.02577</f>
        <v>97.369368000000009</v>
      </c>
      <c r="AF142" s="152">
        <f t="shared" ca="1" si="40"/>
        <v>97.369368000000009</v>
      </c>
      <c r="AG142" s="153">
        <f t="shared" ca="1" si="41"/>
        <v>357.58900398000003</v>
      </c>
    </row>
    <row r="143" spans="1:33" ht="12.75" customHeight="1" x14ac:dyDescent="0.35">
      <c r="A143" s="38" t="s">
        <v>435</v>
      </c>
      <c r="B143" s="46" t="s">
        <v>822</v>
      </c>
      <c r="C143" s="22" t="s">
        <v>436</v>
      </c>
      <c r="D143" s="75">
        <f t="shared" si="31"/>
        <v>45938</v>
      </c>
      <c r="E143" s="75" t="s">
        <v>646</v>
      </c>
      <c r="F143" s="74">
        <f t="shared" si="32"/>
        <v>46303</v>
      </c>
      <c r="G143" s="228"/>
      <c r="H143" s="19">
        <v>5.0599999999999996</v>
      </c>
      <c r="I143" s="71" t="s">
        <v>19</v>
      </c>
      <c r="J143" s="2" t="s">
        <v>8</v>
      </c>
      <c r="K143" s="60" t="s">
        <v>747</v>
      </c>
      <c r="L143" s="2" t="s">
        <v>18</v>
      </c>
      <c r="M143" s="67">
        <v>0</v>
      </c>
      <c r="N143" s="67"/>
      <c r="O143" s="144" t="s">
        <v>933</v>
      </c>
      <c r="P143" s="145" t="s">
        <v>927</v>
      </c>
      <c r="Q143" s="46" t="s">
        <v>1006</v>
      </c>
      <c r="R143" t="b">
        <f t="shared" si="30"/>
        <v>0</v>
      </c>
      <c r="S143" t="b">
        <f t="shared" si="33"/>
        <v>1</v>
      </c>
      <c r="T143" t="b">
        <f t="shared" si="34"/>
        <v>1</v>
      </c>
      <c r="U143" s="46" t="s">
        <v>822</v>
      </c>
      <c r="V143" s="225" t="str">
        <f t="shared" si="35"/>
        <v>SaudiElect 5.06-04/43</v>
      </c>
      <c r="W143" s="67">
        <f t="shared" si="42"/>
        <v>0</v>
      </c>
      <c r="X143" s="151">
        <f t="shared" si="36"/>
        <v>0</v>
      </c>
      <c r="Y143" s="152">
        <f ca="1">((Main!$C$4-D143)*(200000*(H143/100))/360)*0.025</f>
        <v>93.469444444444449</v>
      </c>
      <c r="Z143" s="152">
        <f t="shared" ca="1" si="37"/>
        <v>93.469444444444449</v>
      </c>
      <c r="AA143" s="153">
        <f t="shared" ca="1" si="38"/>
        <v>343.26653472222222</v>
      </c>
      <c r="AC143" s="67">
        <f t="shared" si="43"/>
        <v>0</v>
      </c>
      <c r="AD143" s="151">
        <f t="shared" si="39"/>
        <v>0</v>
      </c>
      <c r="AE143">
        <f ca="1">((Main!$C$4-D143)*(200000*(H143/100))/360)*0.02577</f>
        <v>96.348303333333334</v>
      </c>
      <c r="AF143" s="152">
        <f t="shared" ca="1" si="40"/>
        <v>96.348303333333334</v>
      </c>
      <c r="AG143" s="153">
        <f t="shared" ca="1" si="41"/>
        <v>353.83914399166667</v>
      </c>
    </row>
    <row r="144" spans="1:33" ht="12.75" customHeight="1" x14ac:dyDescent="0.35">
      <c r="A144" s="38" t="s">
        <v>437</v>
      </c>
      <c r="B144" s="46" t="s">
        <v>823</v>
      </c>
      <c r="C144" s="22" t="s">
        <v>438</v>
      </c>
      <c r="D144" s="75">
        <f t="shared" si="31"/>
        <v>45917</v>
      </c>
      <c r="E144" s="75" t="s">
        <v>608</v>
      </c>
      <c r="F144" s="74">
        <f t="shared" si="32"/>
        <v>46282</v>
      </c>
      <c r="G144" s="228"/>
      <c r="H144" s="19">
        <v>2.4129999999999998</v>
      </c>
      <c r="I144" s="71" t="s">
        <v>19</v>
      </c>
      <c r="J144" s="2" t="s">
        <v>8</v>
      </c>
      <c r="K144" s="60" t="s">
        <v>747</v>
      </c>
      <c r="L144" s="2" t="s">
        <v>434</v>
      </c>
      <c r="M144" s="67">
        <v>0</v>
      </c>
      <c r="N144" s="67"/>
      <c r="O144" s="87" t="s">
        <v>933</v>
      </c>
      <c r="P144" s="137" t="s">
        <v>927</v>
      </c>
      <c r="Q144" s="46" t="s">
        <v>1006</v>
      </c>
      <c r="R144" t="b">
        <f t="shared" si="30"/>
        <v>0</v>
      </c>
      <c r="S144" t="b">
        <f t="shared" si="33"/>
        <v>1</v>
      </c>
      <c r="T144" t="b">
        <f t="shared" si="34"/>
        <v>1</v>
      </c>
      <c r="U144" s="46" t="s">
        <v>823</v>
      </c>
      <c r="V144" s="225" t="str">
        <f t="shared" si="35"/>
        <v>SECO 2.413    17/09/30</v>
      </c>
      <c r="W144" s="67">
        <f t="shared" si="42"/>
        <v>0</v>
      </c>
      <c r="X144" s="151">
        <f t="shared" si="36"/>
        <v>0</v>
      </c>
      <c r="Y144" s="152">
        <f ca="1">((Main!$C$4-D144)*(200000*(H144/100))/360)*0.025</f>
        <v>51.611388888888897</v>
      </c>
      <c r="Z144" s="152">
        <f t="shared" ca="1" si="37"/>
        <v>51.611388888888897</v>
      </c>
      <c r="AA144" s="153">
        <f t="shared" ca="1" si="38"/>
        <v>189.54282569444447</v>
      </c>
      <c r="AC144" s="67">
        <f t="shared" si="43"/>
        <v>0</v>
      </c>
      <c r="AD144" s="151">
        <f t="shared" si="39"/>
        <v>0</v>
      </c>
      <c r="AE144">
        <f ca="1">((Main!$C$4-D144)*(200000*(H144/100))/360)*0.02577</f>
        <v>53.201019666666674</v>
      </c>
      <c r="AF144" s="152">
        <f t="shared" ca="1" si="40"/>
        <v>53.201019666666674</v>
      </c>
      <c r="AG144" s="153">
        <f t="shared" ca="1" si="41"/>
        <v>195.38074472583335</v>
      </c>
    </row>
    <row r="145" spans="1:33" ht="12.75" customHeight="1" x14ac:dyDescent="0.35">
      <c r="A145" s="38" t="s">
        <v>439</v>
      </c>
      <c r="B145" s="46" t="s">
        <v>824</v>
      </c>
      <c r="C145" s="22" t="s">
        <v>440</v>
      </c>
      <c r="D145" s="75">
        <f t="shared" si="31"/>
        <v>45941</v>
      </c>
      <c r="E145" s="75" t="s">
        <v>648</v>
      </c>
      <c r="F145" s="74">
        <f t="shared" si="32"/>
        <v>46306</v>
      </c>
      <c r="G145" s="228"/>
      <c r="H145" s="19">
        <v>4.6319999999999997</v>
      </c>
      <c r="I145" s="71" t="s">
        <v>19</v>
      </c>
      <c r="J145" s="2" t="s">
        <v>4</v>
      </c>
      <c r="K145" s="2" t="s">
        <v>749</v>
      </c>
      <c r="L145" s="2" t="s">
        <v>10</v>
      </c>
      <c r="M145" s="67">
        <v>0.45</v>
      </c>
      <c r="N145" s="67"/>
      <c r="O145" s="87" t="s">
        <v>928</v>
      </c>
      <c r="P145" s="137" t="s">
        <v>929</v>
      </c>
      <c r="Q145" s="46" t="s">
        <v>1006</v>
      </c>
      <c r="R145" t="b">
        <f t="shared" si="30"/>
        <v>0</v>
      </c>
      <c r="S145" t="b">
        <f t="shared" si="33"/>
        <v>1</v>
      </c>
      <c r="T145" t="b">
        <f t="shared" si="34"/>
        <v>1</v>
      </c>
      <c r="U145" s="46" t="s">
        <v>824</v>
      </c>
      <c r="V145" s="225" t="str">
        <f t="shared" si="35"/>
        <v>SECO 4.632 - 11/04/2033</v>
      </c>
      <c r="W145" s="67">
        <f t="shared" si="42"/>
        <v>1.1250000000000001E-2</v>
      </c>
      <c r="X145" s="151">
        <f t="shared" si="36"/>
        <v>2250.0000000000005</v>
      </c>
      <c r="Y145" s="152">
        <f ca="1">((Main!$C$4-D145)*(200000*(H145/100))/360)*0.025</f>
        <v>83.63333333333334</v>
      </c>
      <c r="Z145" s="152">
        <f t="shared" ca="1" si="37"/>
        <v>2333.6333333333337</v>
      </c>
      <c r="AA145" s="153">
        <f t="shared" ca="1" si="38"/>
        <v>8570.2684166666677</v>
      </c>
      <c r="AC145" s="67">
        <f t="shared" si="43"/>
        <v>1.1596500000000001E-2</v>
      </c>
      <c r="AD145" s="151">
        <f t="shared" si="39"/>
        <v>2319.3000000000002</v>
      </c>
      <c r="AE145">
        <f ca="1">((Main!$C$4-D145)*(200000*(H145/100))/360)*0.02577</f>
        <v>86.209240000000008</v>
      </c>
      <c r="AF145" s="152">
        <f t="shared" ca="1" si="40"/>
        <v>2405.5092400000003</v>
      </c>
      <c r="AG145" s="153">
        <f t="shared" ca="1" si="41"/>
        <v>8834.2326839000016</v>
      </c>
    </row>
    <row r="146" spans="1:33" ht="12.75" customHeight="1" x14ac:dyDescent="0.35">
      <c r="A146" s="38" t="s">
        <v>441</v>
      </c>
      <c r="B146" s="46" t="s">
        <v>825</v>
      </c>
      <c r="C146" s="22" t="s">
        <v>442</v>
      </c>
      <c r="D146" s="75">
        <f t="shared" si="31"/>
        <v>45882</v>
      </c>
      <c r="E146" s="75" t="s">
        <v>645</v>
      </c>
      <c r="F146" s="74">
        <f t="shared" si="32"/>
        <v>46247</v>
      </c>
      <c r="G146" s="228"/>
      <c r="H146" s="19">
        <v>4.9420000000000002</v>
      </c>
      <c r="I146" s="71" t="s">
        <v>19</v>
      </c>
      <c r="J146" s="2" t="s">
        <v>4</v>
      </c>
      <c r="K146" s="2" t="s">
        <v>749</v>
      </c>
      <c r="L146" s="2" t="s">
        <v>10</v>
      </c>
      <c r="M146" s="67">
        <v>0.45</v>
      </c>
      <c r="N146" s="67"/>
      <c r="O146" s="87" t="s">
        <v>928</v>
      </c>
      <c r="P146" s="137" t="s">
        <v>929</v>
      </c>
      <c r="Q146" s="46" t="s">
        <v>1006</v>
      </c>
      <c r="R146" t="b">
        <f t="shared" si="30"/>
        <v>0</v>
      </c>
      <c r="S146" t="b">
        <f t="shared" si="33"/>
        <v>1</v>
      </c>
      <c r="T146" t="b">
        <f t="shared" si="34"/>
        <v>1</v>
      </c>
      <c r="U146" s="46" t="s">
        <v>825</v>
      </c>
      <c r="V146" s="225" t="str">
        <f t="shared" si="35"/>
        <v>SECO 4.942 13/02/2029</v>
      </c>
      <c r="W146" s="67">
        <f t="shared" si="42"/>
        <v>1.1250000000000001E-2</v>
      </c>
      <c r="X146" s="151">
        <f t="shared" si="36"/>
        <v>2250.0000000000005</v>
      </c>
      <c r="Y146" s="152">
        <f ca="1">((Main!$C$4-D146)*(200000*(H146/100))/360)*0.025</f>
        <v>129.72750000000002</v>
      </c>
      <c r="Z146" s="152">
        <f t="shared" ca="1" si="37"/>
        <v>2379.7275000000004</v>
      </c>
      <c r="AA146" s="153">
        <f t="shared" ca="1" si="38"/>
        <v>8739.5492437500016</v>
      </c>
      <c r="AC146" s="67">
        <f t="shared" si="43"/>
        <v>1.1596500000000001E-2</v>
      </c>
      <c r="AD146" s="151">
        <f t="shared" si="39"/>
        <v>2319.3000000000002</v>
      </c>
      <c r="AE146">
        <f ca="1">((Main!$C$4-D146)*(200000*(H146/100))/360)*0.02577</f>
        <v>133.72310700000003</v>
      </c>
      <c r="AF146" s="152">
        <f t="shared" ca="1" si="40"/>
        <v>2453.023107</v>
      </c>
      <c r="AG146" s="153">
        <f t="shared" ca="1" si="41"/>
        <v>9008.7273604575003</v>
      </c>
    </row>
    <row r="147" spans="1:33" ht="12.75" customHeight="1" x14ac:dyDescent="0.35">
      <c r="A147" s="38" t="s">
        <v>443</v>
      </c>
      <c r="B147" s="46" t="s">
        <v>826</v>
      </c>
      <c r="C147" s="22" t="s">
        <v>444</v>
      </c>
      <c r="D147" s="75">
        <f t="shared" si="31"/>
        <v>45882</v>
      </c>
      <c r="E147" s="75" t="s">
        <v>645</v>
      </c>
      <c r="F147" s="74">
        <f t="shared" si="32"/>
        <v>46247</v>
      </c>
      <c r="G147" s="228"/>
      <c r="H147" s="19">
        <v>5.194</v>
      </c>
      <c r="I147" s="71" t="s">
        <v>19</v>
      </c>
      <c r="J147" s="2" t="s">
        <v>4</v>
      </c>
      <c r="K147" s="2" t="s">
        <v>749</v>
      </c>
      <c r="L147" s="2" t="s">
        <v>10</v>
      </c>
      <c r="M147" s="67">
        <v>0.45</v>
      </c>
      <c r="N147" s="67"/>
      <c r="O147" s="87" t="s">
        <v>928</v>
      </c>
      <c r="P147" s="137" t="s">
        <v>929</v>
      </c>
      <c r="Q147" s="46" t="s">
        <v>1006</v>
      </c>
      <c r="R147" t="b">
        <f t="shared" si="30"/>
        <v>0</v>
      </c>
      <c r="S147" t="b">
        <f t="shared" si="33"/>
        <v>1</v>
      </c>
      <c r="T147" t="b">
        <f t="shared" si="34"/>
        <v>1</v>
      </c>
      <c r="U147" s="46" t="s">
        <v>826</v>
      </c>
      <c r="V147" s="225" t="str">
        <f t="shared" si="35"/>
        <v>SECO 5.194 13/02/2034</v>
      </c>
      <c r="W147" s="67">
        <f t="shared" si="42"/>
        <v>1.1250000000000001E-2</v>
      </c>
      <c r="X147" s="151">
        <f t="shared" si="36"/>
        <v>2250.0000000000005</v>
      </c>
      <c r="Y147" s="152">
        <f ca="1">((Main!$C$4-D147)*(200000*(H147/100))/360)*0.025</f>
        <v>136.3425</v>
      </c>
      <c r="Z147" s="152">
        <f t="shared" ca="1" si="37"/>
        <v>2386.3425000000007</v>
      </c>
      <c r="AA147" s="153">
        <f t="shared" ca="1" si="38"/>
        <v>8763.8428312500018</v>
      </c>
      <c r="AC147" s="67">
        <f t="shared" si="43"/>
        <v>1.1596500000000001E-2</v>
      </c>
      <c r="AD147" s="151">
        <f t="shared" si="39"/>
        <v>2319.3000000000002</v>
      </c>
      <c r="AE147">
        <f ca="1">((Main!$C$4-D147)*(200000*(H147/100))/360)*0.02577</f>
        <v>140.54184900000001</v>
      </c>
      <c r="AF147" s="152">
        <f t="shared" ca="1" si="40"/>
        <v>2459.8418490000004</v>
      </c>
      <c r="AG147" s="153">
        <f t="shared" ca="1" si="41"/>
        <v>9033.7691904525018</v>
      </c>
    </row>
    <row r="148" spans="1:33" ht="12.75" customHeight="1" x14ac:dyDescent="0.35">
      <c r="A148" s="38" t="s">
        <v>445</v>
      </c>
      <c r="B148" s="46" t="s">
        <v>827</v>
      </c>
      <c r="C148" s="22" t="s">
        <v>446</v>
      </c>
      <c r="D148" s="75">
        <f t="shared" si="31"/>
        <v>45887</v>
      </c>
      <c r="E148" s="75" t="s">
        <v>649</v>
      </c>
      <c r="F148" s="74">
        <f t="shared" si="32"/>
        <v>46252</v>
      </c>
      <c r="G148" s="228"/>
      <c r="H148" s="19">
        <v>5.2249999999999996</v>
      </c>
      <c r="I148" s="71" t="s">
        <v>19</v>
      </c>
      <c r="J148" s="2" t="s">
        <v>4</v>
      </c>
      <c r="K148" s="2" t="s">
        <v>749</v>
      </c>
      <c r="L148" s="2" t="s">
        <v>10</v>
      </c>
      <c r="M148" s="67">
        <v>0.45</v>
      </c>
      <c r="N148" s="67"/>
      <c r="O148" s="87" t="s">
        <v>928</v>
      </c>
      <c r="P148" s="137" t="s">
        <v>929</v>
      </c>
      <c r="Q148" s="46" t="s">
        <v>1006</v>
      </c>
      <c r="R148" t="b">
        <f t="shared" si="30"/>
        <v>0</v>
      </c>
      <c r="S148" t="b">
        <f t="shared" si="33"/>
        <v>1</v>
      </c>
      <c r="T148" t="b">
        <f t="shared" si="34"/>
        <v>1</v>
      </c>
      <c r="U148" s="46" t="s">
        <v>827</v>
      </c>
      <c r="V148" s="225" t="str">
        <f t="shared" si="35"/>
        <v>SECO 5.225 18/02/2030</v>
      </c>
      <c r="W148" s="67">
        <f t="shared" si="42"/>
        <v>1.1250000000000001E-2</v>
      </c>
      <c r="X148" s="151">
        <f t="shared" si="36"/>
        <v>2250.0000000000005</v>
      </c>
      <c r="Y148" s="152">
        <f ca="1">((Main!$C$4-D148)*(200000*(H148/100))/360)*0.025</f>
        <v>133.5277777777778</v>
      </c>
      <c r="Z148" s="152">
        <f t="shared" ca="1" si="37"/>
        <v>2383.5277777777783</v>
      </c>
      <c r="AA148" s="153">
        <f t="shared" ca="1" si="38"/>
        <v>8753.5057638888902</v>
      </c>
      <c r="AC148" s="67">
        <f t="shared" si="43"/>
        <v>1.1596500000000001E-2</v>
      </c>
      <c r="AD148" s="151">
        <f t="shared" si="39"/>
        <v>2319.3000000000002</v>
      </c>
      <c r="AE148">
        <f ca="1">((Main!$C$4-D148)*(200000*(H148/100))/360)*0.02577</f>
        <v>137.64043333333333</v>
      </c>
      <c r="AF148" s="152">
        <f t="shared" ca="1" si="40"/>
        <v>2456.9404333333337</v>
      </c>
      <c r="AG148" s="153">
        <f t="shared" ca="1" si="41"/>
        <v>9023.1137414166678</v>
      </c>
    </row>
    <row r="149" spans="1:33" ht="12.75" customHeight="1" x14ac:dyDescent="0.35">
      <c r="A149" s="38" t="s">
        <v>447</v>
      </c>
      <c r="B149" s="46" t="s">
        <v>828</v>
      </c>
      <c r="C149" s="22" t="s">
        <v>448</v>
      </c>
      <c r="D149" s="75">
        <f t="shared" si="31"/>
        <v>45887</v>
      </c>
      <c r="E149" s="75" t="s">
        <v>649</v>
      </c>
      <c r="F149" s="74">
        <f t="shared" si="32"/>
        <v>46252</v>
      </c>
      <c r="G149" s="228"/>
      <c r="H149" s="19">
        <v>5.4889999999999999</v>
      </c>
      <c r="I149" s="71" t="s">
        <v>19</v>
      </c>
      <c r="J149" s="2" t="s">
        <v>4</v>
      </c>
      <c r="K149" s="2" t="s">
        <v>749</v>
      </c>
      <c r="L149" s="2" t="s">
        <v>10</v>
      </c>
      <c r="M149" s="67">
        <v>0.45</v>
      </c>
      <c r="N149" s="67"/>
      <c r="O149" s="87" t="s">
        <v>928</v>
      </c>
      <c r="P149" s="137" t="s">
        <v>929</v>
      </c>
      <c r="Q149" s="46" t="s">
        <v>1006</v>
      </c>
      <c r="R149" t="b">
        <f t="shared" si="30"/>
        <v>0</v>
      </c>
      <c r="S149" t="b">
        <f t="shared" si="33"/>
        <v>1</v>
      </c>
      <c r="T149" t="b">
        <f t="shared" si="34"/>
        <v>1</v>
      </c>
      <c r="U149" s="46" t="s">
        <v>828</v>
      </c>
      <c r="V149" s="225" t="str">
        <f t="shared" si="35"/>
        <v>SECO 5.489 18/02/2035</v>
      </c>
      <c r="W149" s="67">
        <f t="shared" si="42"/>
        <v>1.1250000000000001E-2</v>
      </c>
      <c r="X149" s="151">
        <f t="shared" si="36"/>
        <v>2250.0000000000005</v>
      </c>
      <c r="Y149" s="152">
        <f ca="1">((Main!$C$4-D149)*(200000*(H149/100))/360)*0.025</f>
        <v>140.27444444444447</v>
      </c>
      <c r="Z149" s="152">
        <f t="shared" ca="1" si="37"/>
        <v>2390.2744444444447</v>
      </c>
      <c r="AA149" s="153">
        <f t="shared" ca="1" si="38"/>
        <v>8778.2828972222233</v>
      </c>
      <c r="AC149" s="67">
        <f t="shared" si="43"/>
        <v>1.1596500000000001E-2</v>
      </c>
      <c r="AD149" s="151">
        <f t="shared" si="39"/>
        <v>2319.3000000000002</v>
      </c>
      <c r="AE149">
        <f ca="1">((Main!$C$4-D149)*(200000*(H149/100))/360)*0.02577</f>
        <v>144.59489733333334</v>
      </c>
      <c r="AF149" s="152">
        <f t="shared" ca="1" si="40"/>
        <v>2463.8948973333336</v>
      </c>
      <c r="AG149" s="153">
        <f t="shared" ca="1" si="41"/>
        <v>9048.6540104566666</v>
      </c>
    </row>
    <row r="150" spans="1:33" ht="12.75" customHeight="1" x14ac:dyDescent="0.35">
      <c r="A150" s="38" t="s">
        <v>469</v>
      </c>
      <c r="B150" s="46" t="s">
        <v>830</v>
      </c>
      <c r="C150" s="22" t="s">
        <v>470</v>
      </c>
      <c r="D150" s="75">
        <f t="shared" si="31"/>
        <v>45895</v>
      </c>
      <c r="E150" s="75" t="s">
        <v>590</v>
      </c>
      <c r="F150" s="74">
        <f t="shared" si="32"/>
        <v>46260</v>
      </c>
      <c r="G150" s="228"/>
      <c r="H150" s="19">
        <v>5.2</v>
      </c>
      <c r="I150" s="71" t="s">
        <v>19</v>
      </c>
      <c r="J150" s="158" t="s">
        <v>6</v>
      </c>
      <c r="K150" s="162" t="s">
        <v>732</v>
      </c>
      <c r="L150" s="159" t="s">
        <v>45</v>
      </c>
      <c r="M150" s="67">
        <v>0.66669999999999996</v>
      </c>
      <c r="N150" s="67"/>
      <c r="O150" s="161" t="s">
        <v>949</v>
      </c>
      <c r="P150" s="174" t="s">
        <v>962</v>
      </c>
      <c r="Q150" s="46" t="s">
        <v>1007</v>
      </c>
      <c r="R150" t="b">
        <f t="shared" si="30"/>
        <v>0</v>
      </c>
      <c r="S150" t="b">
        <f t="shared" si="33"/>
        <v>1</v>
      </c>
      <c r="T150" t="b">
        <f t="shared" si="34"/>
        <v>1</v>
      </c>
      <c r="U150" s="46" t="s">
        <v>830</v>
      </c>
      <c r="V150" s="225" t="str">
        <f t="shared" si="35"/>
        <v>SIB 5.2 26/02/2030</v>
      </c>
      <c r="W150" s="67">
        <f t="shared" si="42"/>
        <v>1.6667499999999998E-2</v>
      </c>
      <c r="X150" s="151">
        <f t="shared" si="36"/>
        <v>3333.4999999999995</v>
      </c>
      <c r="Y150" s="152">
        <f ca="1">((Main!$C$4-D150)*(200000*(H150/100))/360)*0.025</f>
        <v>127.11111111111114</v>
      </c>
      <c r="Z150" s="152">
        <f t="shared" ca="1" si="37"/>
        <v>3460.6111111111109</v>
      </c>
      <c r="AA150" s="153">
        <f t="shared" ca="1" si="38"/>
        <v>12709.094305555554</v>
      </c>
      <c r="AC150" s="67">
        <f t="shared" si="43"/>
        <v>1.7180859E-2</v>
      </c>
      <c r="AD150" s="151">
        <f t="shared" si="39"/>
        <v>3436.1718000000001</v>
      </c>
      <c r="AE150">
        <f ca="1">((Main!$C$4-D150)*(200000*(H150/100))/360)*0.02577</f>
        <v>131.02613333333335</v>
      </c>
      <c r="AF150" s="152">
        <f t="shared" ca="1" si="40"/>
        <v>3567.1979333333334</v>
      </c>
      <c r="AG150" s="153">
        <f t="shared" ca="1" si="41"/>
        <v>13100.534410166667</v>
      </c>
    </row>
    <row r="151" spans="1:33" ht="12.75" customHeight="1" x14ac:dyDescent="0.35">
      <c r="A151" s="38" t="s">
        <v>471</v>
      </c>
      <c r="B151" s="46" t="s">
        <v>831</v>
      </c>
      <c r="C151" s="22" t="s">
        <v>472</v>
      </c>
      <c r="D151" s="75">
        <f t="shared" si="31"/>
        <v>45995</v>
      </c>
      <c r="E151" s="75" t="s">
        <v>564</v>
      </c>
      <c r="F151" s="74">
        <f t="shared" si="32"/>
        <v>46360</v>
      </c>
      <c r="G151" s="228"/>
      <c r="H151" s="19">
        <v>6.125</v>
      </c>
      <c r="I151" s="71" t="s">
        <v>19</v>
      </c>
      <c r="J151" s="2" t="s">
        <v>11</v>
      </c>
      <c r="K151" s="2" t="s">
        <v>751</v>
      </c>
      <c r="L151" s="2" t="s">
        <v>12</v>
      </c>
      <c r="M151" s="67">
        <v>1</v>
      </c>
      <c r="N151" s="67"/>
      <c r="O151" s="87" t="s">
        <v>937</v>
      </c>
      <c r="P151" s="141" t="s">
        <v>936</v>
      </c>
      <c r="Q151" s="46" t="s">
        <v>1007</v>
      </c>
      <c r="R151" t="b">
        <f t="shared" si="30"/>
        <v>0</v>
      </c>
      <c r="S151" t="b">
        <f t="shared" si="33"/>
        <v>1</v>
      </c>
      <c r="T151" t="b">
        <f t="shared" si="34"/>
        <v>1</v>
      </c>
      <c r="U151" s="46" t="s">
        <v>831</v>
      </c>
      <c r="V151" s="225" t="str">
        <f t="shared" si="35"/>
        <v>SIB 6.125  PERP</v>
      </c>
      <c r="W151" s="67">
        <f t="shared" si="42"/>
        <v>2.5000000000000001E-2</v>
      </c>
      <c r="X151" s="151">
        <f t="shared" si="36"/>
        <v>5000</v>
      </c>
      <c r="Y151" s="152">
        <f ca="1">((Main!$C$4-D151)*(200000*(H151/100))/360)*0.025</f>
        <v>64.652777777777786</v>
      </c>
      <c r="Z151" s="152">
        <f t="shared" ca="1" si="37"/>
        <v>5064.6527777777774</v>
      </c>
      <c r="AA151" s="153">
        <f t="shared" ca="1" si="38"/>
        <v>18599.937326388888</v>
      </c>
      <c r="AC151" s="67">
        <f t="shared" si="43"/>
        <v>2.5770000000000001E-2</v>
      </c>
      <c r="AD151" s="151">
        <f t="shared" si="39"/>
        <v>5154</v>
      </c>
      <c r="AE151">
        <f ca="1">((Main!$C$4-D151)*(200000*(H151/100))/360)*0.02577</f>
        <v>66.644083333333342</v>
      </c>
      <c r="AF151" s="152">
        <f t="shared" ca="1" si="40"/>
        <v>5220.6440833333336</v>
      </c>
      <c r="AG151" s="153">
        <f t="shared" ca="1" si="41"/>
        <v>19172.815396041668</v>
      </c>
    </row>
    <row r="152" spans="1:33" ht="12.75" customHeight="1" x14ac:dyDescent="0.35">
      <c r="A152" s="38" t="s">
        <v>473</v>
      </c>
      <c r="B152" s="46" t="s">
        <v>832</v>
      </c>
      <c r="C152" s="22" t="s">
        <v>474</v>
      </c>
      <c r="D152" s="75">
        <f t="shared" si="31"/>
        <v>46025</v>
      </c>
      <c r="E152" s="75" t="s">
        <v>650</v>
      </c>
      <c r="F152" s="74">
        <f t="shared" si="32"/>
        <v>46390</v>
      </c>
      <c r="G152" s="228"/>
      <c r="H152" s="19">
        <v>5.25</v>
      </c>
      <c r="I152" s="71" t="s">
        <v>19</v>
      </c>
      <c r="J152" s="158" t="s">
        <v>6</v>
      </c>
      <c r="K152" s="162" t="s">
        <v>732</v>
      </c>
      <c r="L152" s="159" t="s">
        <v>45</v>
      </c>
      <c r="M152" s="67">
        <v>0.66669999999999996</v>
      </c>
      <c r="N152" s="67"/>
      <c r="O152" s="161" t="s">
        <v>949</v>
      </c>
      <c r="P152" s="174" t="s">
        <v>962</v>
      </c>
      <c r="Q152" s="46" t="s">
        <v>1007</v>
      </c>
      <c r="R152" t="b">
        <f t="shared" si="30"/>
        <v>0</v>
      </c>
      <c r="S152" t="b">
        <f t="shared" si="33"/>
        <v>1</v>
      </c>
      <c r="T152" t="b">
        <f t="shared" si="34"/>
        <v>1</v>
      </c>
      <c r="U152" s="46" t="s">
        <v>832</v>
      </c>
      <c r="V152" s="225" t="str">
        <f t="shared" si="35"/>
        <v>SIBSK 5.25 03/07/2029</v>
      </c>
      <c r="W152" s="67">
        <f t="shared" si="42"/>
        <v>1.6667499999999998E-2</v>
      </c>
      <c r="X152" s="151">
        <f t="shared" si="36"/>
        <v>3333.4999999999995</v>
      </c>
      <c r="Y152" s="152">
        <f ca="1">((Main!$C$4-D152)*(200000*(H152/100))/360)*0.025</f>
        <v>33.541666666666671</v>
      </c>
      <c r="Z152" s="152">
        <f t="shared" ca="1" si="37"/>
        <v>3367.0416666666661</v>
      </c>
      <c r="AA152" s="153">
        <f t="shared" ca="1" si="38"/>
        <v>12365.460520833331</v>
      </c>
      <c r="AC152" s="67">
        <f t="shared" si="43"/>
        <v>1.7180859E-2</v>
      </c>
      <c r="AD152" s="151">
        <f t="shared" si="39"/>
        <v>3436.1718000000001</v>
      </c>
      <c r="AE152">
        <f ca="1">((Main!$C$4-D152)*(200000*(H152/100))/360)*0.02577</f>
        <v>34.574750000000002</v>
      </c>
      <c r="AF152" s="152">
        <f t="shared" ca="1" si="40"/>
        <v>3470.7465500000003</v>
      </c>
      <c r="AG152" s="153">
        <f t="shared" ca="1" si="41"/>
        <v>12746.316704875</v>
      </c>
    </row>
    <row r="153" spans="1:33" ht="12.75" customHeight="1" x14ac:dyDescent="0.35">
      <c r="A153" s="38" t="s">
        <v>479</v>
      </c>
      <c r="B153" s="46" t="s">
        <v>833</v>
      </c>
      <c r="C153" s="22" t="s">
        <v>480</v>
      </c>
      <c r="D153" s="75">
        <f t="shared" si="31"/>
        <v>45911</v>
      </c>
      <c r="E153" s="75" t="s">
        <v>651</v>
      </c>
      <c r="F153" s="74">
        <f t="shared" si="32"/>
        <v>46276</v>
      </c>
      <c r="G153" s="228"/>
      <c r="H153" s="19">
        <v>7.125</v>
      </c>
      <c r="I153" s="71" t="s">
        <v>19</v>
      </c>
      <c r="J153" s="2" t="s">
        <v>4</v>
      </c>
      <c r="K153" s="2" t="s">
        <v>749</v>
      </c>
      <c r="L153" s="2" t="s">
        <v>5</v>
      </c>
      <c r="M153" s="67">
        <v>0.45</v>
      </c>
      <c r="N153" s="67"/>
      <c r="O153" s="87" t="s">
        <v>928</v>
      </c>
      <c r="P153" s="137" t="s">
        <v>929</v>
      </c>
      <c r="Q153" s="46" t="s">
        <v>1008</v>
      </c>
      <c r="R153" t="b">
        <f t="shared" si="30"/>
        <v>0</v>
      </c>
      <c r="S153" t="b">
        <f t="shared" si="33"/>
        <v>1</v>
      </c>
      <c r="T153" t="b">
        <f t="shared" si="34"/>
        <v>1</v>
      </c>
      <c r="U153" s="46" t="s">
        <v>833</v>
      </c>
      <c r="V153" s="225" t="str">
        <f t="shared" si="35"/>
        <v>SOBHA 7.125 11/09/30</v>
      </c>
      <c r="W153" s="67">
        <f t="shared" si="42"/>
        <v>1.1250000000000001E-2</v>
      </c>
      <c r="X153" s="151">
        <f t="shared" si="36"/>
        <v>2250.0000000000005</v>
      </c>
      <c r="Y153" s="152">
        <f ca="1">((Main!$C$4-D153)*(200000*(H153/100))/360)*0.025</f>
        <v>158.33333333333331</v>
      </c>
      <c r="Z153" s="152">
        <f t="shared" ca="1" si="37"/>
        <v>2408.3333333333339</v>
      </c>
      <c r="AA153" s="153">
        <f t="shared" ca="1" si="38"/>
        <v>8844.6041666666679</v>
      </c>
      <c r="AC153" s="67">
        <f t="shared" si="43"/>
        <v>1.1596500000000001E-2</v>
      </c>
      <c r="AD153" s="151">
        <f t="shared" si="39"/>
        <v>2319.3000000000002</v>
      </c>
      <c r="AE153">
        <f ca="1">((Main!$C$4-D153)*(200000*(H153/100))/360)*0.02577</f>
        <v>163.20999999999998</v>
      </c>
      <c r="AF153" s="152">
        <f t="shared" ca="1" si="40"/>
        <v>2482.5100000000002</v>
      </c>
      <c r="AG153" s="153">
        <f t="shared" ca="1" si="41"/>
        <v>9117.0179750000007</v>
      </c>
    </row>
    <row r="154" spans="1:33" ht="12.75" customHeight="1" x14ac:dyDescent="0.35">
      <c r="A154" s="38" t="s">
        <v>481</v>
      </c>
      <c r="B154" s="46" t="s">
        <v>834</v>
      </c>
      <c r="C154" s="22" t="s">
        <v>482</v>
      </c>
      <c r="D154" s="75">
        <f t="shared" si="31"/>
        <v>45980</v>
      </c>
      <c r="E154" s="75" t="s">
        <v>575</v>
      </c>
      <c r="F154" s="74">
        <f t="shared" si="32"/>
        <v>46345</v>
      </c>
      <c r="G154" s="228"/>
      <c r="H154" s="19">
        <v>7.9954999999999998</v>
      </c>
      <c r="I154" s="71" t="s">
        <v>19</v>
      </c>
      <c r="J154" s="2" t="s">
        <v>4</v>
      </c>
      <c r="K154" s="2" t="s">
        <v>749</v>
      </c>
      <c r="L154" s="2" t="s">
        <v>5</v>
      </c>
      <c r="M154" s="67">
        <v>0.45</v>
      </c>
      <c r="N154" s="67"/>
      <c r="O154" s="87" t="s">
        <v>928</v>
      </c>
      <c r="P154" s="137" t="s">
        <v>929</v>
      </c>
      <c r="Q154" s="46" t="s">
        <v>1008</v>
      </c>
      <c r="R154" t="b">
        <f t="shared" si="30"/>
        <v>0</v>
      </c>
      <c r="S154" t="b">
        <f t="shared" si="33"/>
        <v>1</v>
      </c>
      <c r="T154" t="b">
        <f t="shared" si="34"/>
        <v>1</v>
      </c>
      <c r="U154" s="46" t="s">
        <v>834</v>
      </c>
      <c r="V154" s="225" t="str">
        <f t="shared" si="35"/>
        <v>SOBHA 7.9955 19/02/29</v>
      </c>
      <c r="W154" s="67">
        <f t="shared" si="42"/>
        <v>1.1250000000000001E-2</v>
      </c>
      <c r="X154" s="151">
        <f t="shared" si="36"/>
        <v>2250.0000000000005</v>
      </c>
      <c r="Y154" s="152">
        <f ca="1">((Main!$C$4-D154)*(200000*(H154/100))/360)*0.025</f>
        <v>101.05423611111111</v>
      </c>
      <c r="Z154" s="152">
        <f t="shared" ca="1" si="37"/>
        <v>2351.0542361111115</v>
      </c>
      <c r="AA154" s="153">
        <f t="shared" ca="1" si="38"/>
        <v>8634.2466821180569</v>
      </c>
      <c r="AC154" s="67">
        <f t="shared" si="43"/>
        <v>1.1596500000000001E-2</v>
      </c>
      <c r="AD154" s="151">
        <f t="shared" si="39"/>
        <v>2319.3000000000002</v>
      </c>
      <c r="AE154">
        <f ca="1">((Main!$C$4-D154)*(200000*(H154/100))/360)*0.02577</f>
        <v>104.16670658333334</v>
      </c>
      <c r="AF154" s="152">
        <f t="shared" ca="1" si="40"/>
        <v>2423.4667065833337</v>
      </c>
      <c r="AG154" s="153">
        <f t="shared" ca="1" si="41"/>
        <v>8900.1814799272925</v>
      </c>
    </row>
    <row r="155" spans="1:33" ht="12.75" customHeight="1" x14ac:dyDescent="0.35">
      <c r="A155" s="38" t="s">
        <v>483</v>
      </c>
      <c r="B155" s="46" t="s">
        <v>835</v>
      </c>
      <c r="C155" s="22" t="s">
        <v>484</v>
      </c>
      <c r="D155" s="75">
        <f t="shared" si="31"/>
        <v>46039</v>
      </c>
      <c r="E155" s="75" t="s">
        <v>613</v>
      </c>
      <c r="F155" s="74">
        <f t="shared" si="32"/>
        <v>46404</v>
      </c>
      <c r="G155" s="228"/>
      <c r="H155" s="19">
        <v>8.75</v>
      </c>
      <c r="I155" s="71" t="s">
        <v>19</v>
      </c>
      <c r="J155" s="2" t="s">
        <v>4</v>
      </c>
      <c r="K155" s="2" t="s">
        <v>749</v>
      </c>
      <c r="L155" s="2" t="s">
        <v>5</v>
      </c>
      <c r="M155" s="67">
        <v>0.45</v>
      </c>
      <c r="N155" s="67"/>
      <c r="O155" s="87" t="s">
        <v>928</v>
      </c>
      <c r="P155" s="137" t="s">
        <v>929</v>
      </c>
      <c r="Q155" s="46" t="s">
        <v>1008</v>
      </c>
      <c r="R155" t="b">
        <f t="shared" ref="R155:R218" si="44">Q155=B155</f>
        <v>0</v>
      </c>
      <c r="S155" t="b">
        <f t="shared" si="33"/>
        <v>1</v>
      </c>
      <c r="T155" t="b">
        <f t="shared" si="34"/>
        <v>1</v>
      </c>
      <c r="U155" s="46" t="s">
        <v>835</v>
      </c>
      <c r="V155" s="225" t="str">
        <f t="shared" si="35"/>
        <v>SOBREA 8.75 17-JUL-28</v>
      </c>
      <c r="W155" s="67">
        <f t="shared" si="42"/>
        <v>1.1250000000000001E-2</v>
      </c>
      <c r="X155" s="151">
        <f t="shared" si="36"/>
        <v>2250.0000000000005</v>
      </c>
      <c r="Y155" s="152">
        <f ca="1">((Main!$C$4-D155)*(200000*(H155/100))/360)*0.025</f>
        <v>38.888888888888893</v>
      </c>
      <c r="Z155" s="152">
        <f t="shared" ca="1" si="37"/>
        <v>2288.8888888888891</v>
      </c>
      <c r="AA155" s="153">
        <f t="shared" ca="1" si="38"/>
        <v>8405.9444444444453</v>
      </c>
      <c r="AC155" s="67">
        <f t="shared" si="43"/>
        <v>1.1596500000000001E-2</v>
      </c>
      <c r="AD155" s="151">
        <f t="shared" si="39"/>
        <v>2319.3000000000002</v>
      </c>
      <c r="AE155">
        <f ca="1">((Main!$C$4-D155)*(200000*(H155/100))/360)*0.02577</f>
        <v>40.086666666666673</v>
      </c>
      <c r="AF155" s="152">
        <f t="shared" ca="1" si="40"/>
        <v>2359.3866666666668</v>
      </c>
      <c r="AG155" s="153">
        <f t="shared" ca="1" si="41"/>
        <v>8664.8475333333336</v>
      </c>
    </row>
    <row r="156" spans="1:33" ht="12.75" customHeight="1" x14ac:dyDescent="0.35">
      <c r="A156" s="38" t="s">
        <v>492</v>
      </c>
      <c r="B156" s="46" t="s">
        <v>491</v>
      </c>
      <c r="C156" s="22" t="s">
        <v>493</v>
      </c>
      <c r="D156" s="75">
        <f t="shared" si="31"/>
        <v>45949</v>
      </c>
      <c r="E156" s="75" t="s">
        <v>602</v>
      </c>
      <c r="F156" s="74">
        <f t="shared" si="32"/>
        <v>46314</v>
      </c>
      <c r="G156" s="228"/>
      <c r="H156" s="19">
        <v>3.2440000000000002</v>
      </c>
      <c r="I156" s="71" t="s">
        <v>19</v>
      </c>
      <c r="J156" s="60" t="s">
        <v>943</v>
      </c>
      <c r="K156" s="1" t="s">
        <v>757</v>
      </c>
      <c r="L156" s="1" t="s">
        <v>494</v>
      </c>
      <c r="M156" s="67">
        <v>0.49</v>
      </c>
      <c r="N156" s="67"/>
      <c r="O156" s="87" t="s">
        <v>944</v>
      </c>
      <c r="P156" s="141" t="s">
        <v>945</v>
      </c>
      <c r="Q156" s="46" t="s">
        <v>491</v>
      </c>
      <c r="R156" t="b">
        <f t="shared" si="44"/>
        <v>1</v>
      </c>
      <c r="S156" t="b">
        <f t="shared" si="33"/>
        <v>1</v>
      </c>
      <c r="T156" t="b">
        <f t="shared" si="34"/>
        <v>1</v>
      </c>
      <c r="U156" s="46" t="s">
        <v>491</v>
      </c>
      <c r="V156" s="225" t="str">
        <f t="shared" si="35"/>
        <v>TNBMK 3.244 10/19/26 EMTN</v>
      </c>
      <c r="W156" s="67">
        <f t="shared" si="42"/>
        <v>1.225E-2</v>
      </c>
      <c r="X156" s="151">
        <f t="shared" si="36"/>
        <v>2450</v>
      </c>
      <c r="Y156" s="152">
        <f ca="1">((Main!$C$4-D156)*(200000*(H156/100))/360)*0.025</f>
        <v>54.967777777777783</v>
      </c>
      <c r="Z156" s="152">
        <f t="shared" ca="1" si="37"/>
        <v>2504.9677777777779</v>
      </c>
      <c r="AA156" s="153">
        <f t="shared" ca="1" si="38"/>
        <v>9199.4941638888886</v>
      </c>
      <c r="AC156" s="67">
        <f t="shared" si="43"/>
        <v>1.2627300000000001E-2</v>
      </c>
      <c r="AD156" s="151">
        <f t="shared" si="39"/>
        <v>2525.46</v>
      </c>
      <c r="AE156">
        <f ca="1">((Main!$C$4-D156)*(200000*(H156/100))/360)*0.02577</f>
        <v>56.660785333333337</v>
      </c>
      <c r="AF156" s="152">
        <f t="shared" ca="1" si="40"/>
        <v>2582.1207853333335</v>
      </c>
      <c r="AG156" s="153">
        <f t="shared" ca="1" si="41"/>
        <v>9482.8385841366671</v>
      </c>
    </row>
    <row r="157" spans="1:33" ht="12.75" customHeight="1" x14ac:dyDescent="0.35">
      <c r="A157" s="38" t="s">
        <v>202</v>
      </c>
      <c r="B157" s="46" t="s">
        <v>836</v>
      </c>
      <c r="C157" s="22" t="s">
        <v>203</v>
      </c>
      <c r="D157" s="75">
        <f t="shared" si="31"/>
        <v>45897</v>
      </c>
      <c r="E157" s="75" t="s">
        <v>588</v>
      </c>
      <c r="F157" s="74">
        <f t="shared" si="32"/>
        <v>46262</v>
      </c>
      <c r="G157" s="228"/>
      <c r="H157" s="19">
        <v>10.875</v>
      </c>
      <c r="I157" s="71" t="s">
        <v>19</v>
      </c>
      <c r="J157" s="2" t="s">
        <v>8</v>
      </c>
      <c r="K157" s="60" t="s">
        <v>741</v>
      </c>
      <c r="L157" s="2" t="s">
        <v>5</v>
      </c>
      <c r="M157" s="67">
        <v>0</v>
      </c>
      <c r="N157" s="67"/>
      <c r="O157" s="144" t="s">
        <v>933</v>
      </c>
      <c r="P157" s="145" t="s">
        <v>927</v>
      </c>
      <c r="Q157" s="46" t="s">
        <v>1009</v>
      </c>
      <c r="R157" t="b">
        <f t="shared" si="44"/>
        <v>0</v>
      </c>
      <c r="S157" t="b">
        <f t="shared" si="33"/>
        <v>1</v>
      </c>
      <c r="T157" t="b">
        <f t="shared" si="34"/>
        <v>1</v>
      </c>
      <c r="U157" s="46" t="s">
        <v>836</v>
      </c>
      <c r="V157" s="225" t="str">
        <f t="shared" si="35"/>
        <v>EGYSK 10.875 - 28/02/26</v>
      </c>
      <c r="W157" s="67">
        <f t="shared" si="42"/>
        <v>0</v>
      </c>
      <c r="X157" s="151">
        <f t="shared" si="36"/>
        <v>0</v>
      </c>
      <c r="Y157" s="152">
        <f ca="1">((Main!$C$4-D157)*(200000*(H157/100))/360)*0.025</f>
        <v>262.8125</v>
      </c>
      <c r="Z157" s="152">
        <f t="shared" ca="1" si="37"/>
        <v>262.8125</v>
      </c>
      <c r="AA157" s="153">
        <f t="shared" ca="1" si="38"/>
        <v>965.17890624999995</v>
      </c>
      <c r="AC157" s="67">
        <f t="shared" si="43"/>
        <v>0</v>
      </c>
      <c r="AD157" s="151">
        <f t="shared" si="39"/>
        <v>0</v>
      </c>
      <c r="AE157">
        <f ca="1">((Main!$C$4-D157)*(200000*(H157/100))/360)*0.02577</f>
        <v>270.90712500000001</v>
      </c>
      <c r="AF157" s="152">
        <f t="shared" ca="1" si="40"/>
        <v>270.90712500000001</v>
      </c>
      <c r="AG157" s="153">
        <f t="shared" ca="1" si="41"/>
        <v>994.9064165625</v>
      </c>
    </row>
    <row r="158" spans="1:33" ht="12.75" customHeight="1" x14ac:dyDescent="0.35">
      <c r="A158" s="38" t="s">
        <v>204</v>
      </c>
      <c r="B158" s="46" t="s">
        <v>837</v>
      </c>
      <c r="C158" s="22" t="s">
        <v>205</v>
      </c>
      <c r="D158" s="75">
        <f t="shared" si="31"/>
        <v>45937</v>
      </c>
      <c r="E158" s="75" t="s">
        <v>652</v>
      </c>
      <c r="F158" s="74">
        <f t="shared" si="32"/>
        <v>46302</v>
      </c>
      <c r="G158" s="228"/>
      <c r="H158" s="19">
        <v>6.375</v>
      </c>
      <c r="I158" s="71" t="s">
        <v>19</v>
      </c>
      <c r="J158" s="2" t="s">
        <v>8</v>
      </c>
      <c r="K158" s="60" t="s">
        <v>741</v>
      </c>
      <c r="L158" s="2" t="s">
        <v>5</v>
      </c>
      <c r="M158" s="67">
        <v>0</v>
      </c>
      <c r="N158" s="67"/>
      <c r="O158" s="87" t="s">
        <v>933</v>
      </c>
      <c r="P158" s="137" t="s">
        <v>927</v>
      </c>
      <c r="Q158" s="46" t="s">
        <v>1009</v>
      </c>
      <c r="R158" t="b">
        <f t="shared" si="44"/>
        <v>0</v>
      </c>
      <c r="S158" t="b">
        <f t="shared" si="33"/>
        <v>1</v>
      </c>
      <c r="T158" t="b">
        <f t="shared" si="34"/>
        <v>1</v>
      </c>
      <c r="U158" s="46" t="s">
        <v>837</v>
      </c>
      <c r="V158" s="225" t="str">
        <f t="shared" si="35"/>
        <v>EGYSK 6.375 07/04/29</v>
      </c>
      <c r="W158" s="67">
        <f t="shared" si="42"/>
        <v>0</v>
      </c>
      <c r="X158" s="151">
        <f t="shared" si="36"/>
        <v>0</v>
      </c>
      <c r="Y158" s="152">
        <f ca="1">((Main!$C$4-D158)*(200000*(H158/100))/360)*0.025</f>
        <v>118.64583333333333</v>
      </c>
      <c r="Z158" s="152">
        <f t="shared" ca="1" si="37"/>
        <v>118.64583333333333</v>
      </c>
      <c r="AA158" s="153">
        <f t="shared" ca="1" si="38"/>
        <v>435.72682291666666</v>
      </c>
      <c r="AC158" s="67">
        <f t="shared" si="43"/>
        <v>0</v>
      </c>
      <c r="AD158" s="151">
        <f t="shared" si="39"/>
        <v>0</v>
      </c>
      <c r="AE158">
        <f ca="1">((Main!$C$4-D158)*(200000*(H158/100))/360)*0.02577</f>
        <v>122.30012499999999</v>
      </c>
      <c r="AF158" s="152">
        <f t="shared" ca="1" si="40"/>
        <v>122.30012499999999</v>
      </c>
      <c r="AG158" s="153">
        <f t="shared" ca="1" si="41"/>
        <v>449.14720906249994</v>
      </c>
    </row>
    <row r="159" spans="1:33" ht="12.75" customHeight="1" x14ac:dyDescent="0.35">
      <c r="A159" s="38" t="s">
        <v>206</v>
      </c>
      <c r="B159" s="46" t="s">
        <v>838</v>
      </c>
      <c r="C159" s="22" t="s">
        <v>207</v>
      </c>
      <c r="D159" s="75">
        <f t="shared" si="31"/>
        <v>46016</v>
      </c>
      <c r="E159" s="75" t="s">
        <v>653</v>
      </c>
      <c r="F159" s="74">
        <f t="shared" si="32"/>
        <v>46381</v>
      </c>
      <c r="G159" s="228"/>
      <c r="H159" s="19">
        <f>7+7/8</f>
        <v>7.875</v>
      </c>
      <c r="I159" s="71" t="s">
        <v>19</v>
      </c>
      <c r="J159" s="2" t="s">
        <v>8</v>
      </c>
      <c r="K159" s="60" t="s">
        <v>741</v>
      </c>
      <c r="L159" s="2" t="s">
        <v>5</v>
      </c>
      <c r="M159" s="67">
        <v>0</v>
      </c>
      <c r="N159" s="67"/>
      <c r="O159" s="142" t="s">
        <v>933</v>
      </c>
      <c r="P159" s="143" t="s">
        <v>927</v>
      </c>
      <c r="Q159" s="46" t="s">
        <v>1009</v>
      </c>
      <c r="R159" t="b">
        <f t="shared" si="44"/>
        <v>0</v>
      </c>
      <c r="S159" t="b">
        <f t="shared" si="33"/>
        <v>1</v>
      </c>
      <c r="T159" t="b">
        <f t="shared" si="34"/>
        <v>1</v>
      </c>
      <c r="U159" s="46" t="s">
        <v>838</v>
      </c>
      <c r="V159" s="225" t="str">
        <f t="shared" si="35"/>
        <v>EGYSK 7 ⅞ 06/25/28 3YR</v>
      </c>
      <c r="W159" s="67">
        <f t="shared" si="42"/>
        <v>0</v>
      </c>
      <c r="X159" s="151">
        <f t="shared" si="36"/>
        <v>0</v>
      </c>
      <c r="Y159" s="152">
        <f ca="1">((Main!$C$4-D159)*(200000*(H159/100))/360)*0.025</f>
        <v>60.15625</v>
      </c>
      <c r="Z159" s="152">
        <f t="shared" ca="1" si="37"/>
        <v>60.15625</v>
      </c>
      <c r="AA159" s="153">
        <f t="shared" ca="1" si="38"/>
        <v>220.923828125</v>
      </c>
      <c r="AC159" s="67">
        <f t="shared" si="43"/>
        <v>0</v>
      </c>
      <c r="AD159" s="151">
        <f t="shared" si="39"/>
        <v>0</v>
      </c>
      <c r="AE159">
        <f ca="1">((Main!$C$4-D159)*(200000*(H159/100))/360)*0.02577</f>
        <v>62.009062500000006</v>
      </c>
      <c r="AF159" s="152">
        <f t="shared" ca="1" si="40"/>
        <v>62.009062500000006</v>
      </c>
      <c r="AG159" s="153">
        <f t="shared" ca="1" si="41"/>
        <v>227.72828203125002</v>
      </c>
    </row>
    <row r="160" spans="1:33" ht="12.75" customHeight="1" x14ac:dyDescent="0.35">
      <c r="A160" s="38" t="s">
        <v>208</v>
      </c>
      <c r="B160" s="46" t="s">
        <v>839</v>
      </c>
      <c r="C160" s="22" t="s">
        <v>209</v>
      </c>
      <c r="D160" s="75">
        <f t="shared" si="31"/>
        <v>45937</v>
      </c>
      <c r="E160" s="75" t="s">
        <v>652</v>
      </c>
      <c r="F160" s="74">
        <f t="shared" si="32"/>
        <v>46302</v>
      </c>
      <c r="G160" s="228"/>
      <c r="H160" s="19">
        <v>7.95</v>
      </c>
      <c r="I160" s="71" t="s">
        <v>19</v>
      </c>
      <c r="J160" s="2" t="s">
        <v>8</v>
      </c>
      <c r="K160" s="60" t="s">
        <v>741</v>
      </c>
      <c r="L160" s="2" t="s">
        <v>5</v>
      </c>
      <c r="M160" s="67">
        <v>0</v>
      </c>
      <c r="N160" s="67"/>
      <c r="O160" s="87" t="s">
        <v>933</v>
      </c>
      <c r="P160" s="137" t="s">
        <v>927</v>
      </c>
      <c r="Q160" s="46" t="s">
        <v>1009</v>
      </c>
      <c r="R160" t="b">
        <f t="shared" si="44"/>
        <v>0</v>
      </c>
      <c r="S160" t="b">
        <f t="shared" si="33"/>
        <v>1</v>
      </c>
      <c r="T160" t="b">
        <f t="shared" si="34"/>
        <v>1</v>
      </c>
      <c r="U160" s="46" t="s">
        <v>839</v>
      </c>
      <c r="V160" s="225" t="str">
        <f t="shared" si="35"/>
        <v>EGYSK 7.95 07/10/32</v>
      </c>
      <c r="W160" s="67">
        <f t="shared" si="42"/>
        <v>0</v>
      </c>
      <c r="X160" s="151">
        <f t="shared" si="36"/>
        <v>0</v>
      </c>
      <c r="Y160" s="152">
        <f ca="1">((Main!$C$4-D160)*(200000*(H160/100))/360)*0.025</f>
        <v>147.95833333333334</v>
      </c>
      <c r="Z160" s="152">
        <f t="shared" ca="1" si="37"/>
        <v>147.95833333333334</v>
      </c>
      <c r="AA160" s="153">
        <f t="shared" ca="1" si="38"/>
        <v>543.37697916666673</v>
      </c>
      <c r="AC160" s="67">
        <f t="shared" si="43"/>
        <v>0</v>
      </c>
      <c r="AD160" s="151">
        <f t="shared" si="39"/>
        <v>0</v>
      </c>
      <c r="AE160">
        <f ca="1">((Main!$C$4-D160)*(200000*(H160/100))/360)*0.02577</f>
        <v>152.51544999999999</v>
      </c>
      <c r="AF160" s="152">
        <f t="shared" ca="1" si="40"/>
        <v>152.51544999999999</v>
      </c>
      <c r="AG160" s="153">
        <f t="shared" ca="1" si="41"/>
        <v>560.1129901249999</v>
      </c>
    </row>
    <row r="161" spans="1:33" ht="12.75" customHeight="1" x14ac:dyDescent="0.35">
      <c r="A161" s="38" t="s">
        <v>350</v>
      </c>
      <c r="B161" s="46" t="s">
        <v>840</v>
      </c>
      <c r="C161" s="22" t="s">
        <v>351</v>
      </c>
      <c r="D161" s="75">
        <f t="shared" si="31"/>
        <v>45958</v>
      </c>
      <c r="E161" s="75" t="s">
        <v>654</v>
      </c>
      <c r="F161" s="74">
        <f t="shared" si="32"/>
        <v>46323</v>
      </c>
      <c r="G161" s="228"/>
      <c r="H161" s="19">
        <v>2.0699999999999998</v>
      </c>
      <c r="I161" s="71" t="s">
        <v>19</v>
      </c>
      <c r="J161" s="2" t="s">
        <v>6</v>
      </c>
      <c r="K161" s="2" t="s">
        <v>739</v>
      </c>
      <c r="L161" s="64" t="s">
        <v>352</v>
      </c>
      <c r="M161" s="67">
        <v>1</v>
      </c>
      <c r="N161" s="67"/>
      <c r="O161" s="87" t="s">
        <v>939</v>
      </c>
      <c r="P161" s="137" t="s">
        <v>940</v>
      </c>
      <c r="Q161" s="46" t="s">
        <v>1010</v>
      </c>
      <c r="R161" t="b">
        <f t="shared" si="44"/>
        <v>0</v>
      </c>
      <c r="S161" t="b">
        <f t="shared" si="33"/>
        <v>1</v>
      </c>
      <c r="T161" t="b">
        <f t="shared" si="34"/>
        <v>1</v>
      </c>
      <c r="U161" s="46" t="s">
        <v>840</v>
      </c>
      <c r="V161" s="225" t="str">
        <f t="shared" si="35"/>
        <v>MALAYS 2.07 04/28/31 REGS</v>
      </c>
      <c r="W161" s="67">
        <f t="shared" si="42"/>
        <v>2.5000000000000001E-2</v>
      </c>
      <c r="X161" s="151">
        <f t="shared" si="36"/>
        <v>5000</v>
      </c>
      <c r="Y161" s="152">
        <f ca="1">((Main!$C$4-D161)*(200000*(H161/100))/360)*0.025</f>
        <v>32.487500000000004</v>
      </c>
      <c r="Z161" s="152">
        <f t="shared" ca="1" si="37"/>
        <v>5032.4875000000002</v>
      </c>
      <c r="AA161" s="153">
        <f t="shared" ca="1" si="38"/>
        <v>18481.810343749999</v>
      </c>
      <c r="AC161" s="67">
        <f t="shared" si="43"/>
        <v>2.5770000000000001E-2</v>
      </c>
      <c r="AD161" s="151">
        <f t="shared" si="39"/>
        <v>5154</v>
      </c>
      <c r="AE161">
        <f ca="1">((Main!$C$4-D161)*(200000*(H161/100))/360)*0.02577</f>
        <v>33.488115000000001</v>
      </c>
      <c r="AF161" s="152">
        <f t="shared" ca="1" si="40"/>
        <v>5187.4881150000001</v>
      </c>
      <c r="AG161" s="153">
        <f t="shared" ca="1" si="41"/>
        <v>19051.0501023375</v>
      </c>
    </row>
    <row r="162" spans="1:33" ht="12.75" customHeight="1" x14ac:dyDescent="0.35">
      <c r="A162" s="38" t="s">
        <v>353</v>
      </c>
      <c r="B162" s="46" t="s">
        <v>841</v>
      </c>
      <c r="C162" s="22" t="s">
        <v>354</v>
      </c>
      <c r="D162" s="75">
        <f t="shared" si="31"/>
        <v>45958</v>
      </c>
      <c r="E162" s="75" t="s">
        <v>654</v>
      </c>
      <c r="F162" s="74">
        <f t="shared" si="32"/>
        <v>46323</v>
      </c>
      <c r="G162" s="228"/>
      <c r="H162" s="19">
        <v>3.0750000000000002</v>
      </c>
      <c r="I162" s="71" t="s">
        <v>19</v>
      </c>
      <c r="J162" s="2" t="s">
        <v>6</v>
      </c>
      <c r="K162" s="2" t="s">
        <v>739</v>
      </c>
      <c r="L162" s="64" t="s">
        <v>352</v>
      </c>
      <c r="M162" s="67">
        <v>1</v>
      </c>
      <c r="N162" s="67"/>
      <c r="O162" s="87" t="s">
        <v>939</v>
      </c>
      <c r="P162" s="137" t="s">
        <v>940</v>
      </c>
      <c r="Q162" s="46" t="s">
        <v>1010</v>
      </c>
      <c r="R162" t="b">
        <f t="shared" si="44"/>
        <v>0</v>
      </c>
      <c r="S162" t="b">
        <f t="shared" si="33"/>
        <v>1</v>
      </c>
      <c r="T162" t="b">
        <f t="shared" si="34"/>
        <v>1</v>
      </c>
      <c r="U162" s="46" t="s">
        <v>841</v>
      </c>
      <c r="V162" s="225" t="str">
        <f t="shared" si="35"/>
        <v>MALAYS 3.075-28/04/51</v>
      </c>
      <c r="W162" s="67">
        <f t="shared" si="42"/>
        <v>2.5000000000000001E-2</v>
      </c>
      <c r="X162" s="151">
        <f t="shared" si="36"/>
        <v>5000</v>
      </c>
      <c r="Y162" s="152">
        <f ca="1">((Main!$C$4-D162)*(200000*(H162/100))/360)*0.025</f>
        <v>48.260416666666679</v>
      </c>
      <c r="Z162" s="152">
        <f t="shared" ca="1" si="37"/>
        <v>5048.260416666667</v>
      </c>
      <c r="AA162" s="153">
        <f t="shared" ca="1" si="38"/>
        <v>18539.736380208335</v>
      </c>
      <c r="AC162" s="67">
        <f t="shared" si="43"/>
        <v>2.5770000000000001E-2</v>
      </c>
      <c r="AD162" s="151">
        <f t="shared" si="39"/>
        <v>5154</v>
      </c>
      <c r="AE162">
        <f ca="1">((Main!$C$4-D162)*(200000*(H162/100))/360)*0.02577</f>
        <v>49.746837500000012</v>
      </c>
      <c r="AF162" s="152">
        <f t="shared" ca="1" si="40"/>
        <v>5203.7468374999999</v>
      </c>
      <c r="AG162" s="153">
        <f t="shared" ca="1" si="41"/>
        <v>19110.760260718747</v>
      </c>
    </row>
    <row r="163" spans="1:33" ht="12.75" customHeight="1" x14ac:dyDescent="0.35">
      <c r="A163" s="38" t="s">
        <v>420</v>
      </c>
      <c r="B163" s="46" t="s">
        <v>419</v>
      </c>
      <c r="C163" s="22" t="s">
        <v>421</v>
      </c>
      <c r="D163" s="75">
        <f t="shared" si="31"/>
        <v>45912</v>
      </c>
      <c r="E163" s="75" t="s">
        <v>576</v>
      </c>
      <c r="F163" s="74">
        <f t="shared" si="32"/>
        <v>46277</v>
      </c>
      <c r="G163" s="228"/>
      <c r="H163" s="19">
        <v>5</v>
      </c>
      <c r="I163" s="71" t="s">
        <v>19</v>
      </c>
      <c r="J163" s="2" t="s">
        <v>4</v>
      </c>
      <c r="K163" s="2" t="s">
        <v>749</v>
      </c>
      <c r="L163" s="27" t="s">
        <v>5</v>
      </c>
      <c r="M163" s="67">
        <v>0.45</v>
      </c>
      <c r="N163" s="67"/>
      <c r="O163" s="87" t="s">
        <v>928</v>
      </c>
      <c r="P163" s="137" t="s">
        <v>929</v>
      </c>
      <c r="Q163" s="46" t="s">
        <v>419</v>
      </c>
      <c r="R163" t="b">
        <f t="shared" si="44"/>
        <v>1</v>
      </c>
      <c r="S163" t="b">
        <f t="shared" si="33"/>
        <v>1</v>
      </c>
      <c r="T163" t="b">
        <f t="shared" si="34"/>
        <v>1</v>
      </c>
      <c r="U163" s="46" t="s">
        <v>419</v>
      </c>
      <c r="V163" s="225" t="str">
        <f t="shared" si="35"/>
        <v>RAKS 5 12/03/2035</v>
      </c>
      <c r="W163" s="67">
        <f t="shared" si="42"/>
        <v>1.1250000000000001E-2</v>
      </c>
      <c r="X163" s="151">
        <f t="shared" si="36"/>
        <v>2250.0000000000005</v>
      </c>
      <c r="Y163" s="152">
        <f ca="1">((Main!$C$4-D163)*(200000*(H163/100))/360)*0.025</f>
        <v>110.41666666666669</v>
      </c>
      <c r="Z163" s="152">
        <f t="shared" ca="1" si="37"/>
        <v>2360.416666666667</v>
      </c>
      <c r="AA163" s="153">
        <f t="shared" ca="1" si="38"/>
        <v>8668.6302083333339</v>
      </c>
      <c r="AC163" s="67">
        <f t="shared" si="43"/>
        <v>1.1596500000000001E-2</v>
      </c>
      <c r="AD163" s="151">
        <f t="shared" si="39"/>
        <v>2319.3000000000002</v>
      </c>
      <c r="AE163">
        <f ca="1">((Main!$C$4-D163)*(200000*(H163/100))/360)*0.02577</f>
        <v>113.81750000000001</v>
      </c>
      <c r="AF163" s="152">
        <f t="shared" ca="1" si="40"/>
        <v>2433.1175000000003</v>
      </c>
      <c r="AG163" s="153">
        <f t="shared" ca="1" si="41"/>
        <v>8935.6240187500007</v>
      </c>
    </row>
    <row r="164" spans="1:33" ht="12.75" customHeight="1" x14ac:dyDescent="0.35">
      <c r="A164" s="38" t="s">
        <v>451</v>
      </c>
      <c r="B164" s="46" t="s">
        <v>842</v>
      </c>
      <c r="C164" s="22" t="s">
        <v>452</v>
      </c>
      <c r="D164" s="75">
        <f t="shared" si="31"/>
        <v>46001</v>
      </c>
      <c r="E164" s="75" t="s">
        <v>655</v>
      </c>
      <c r="F164" s="74">
        <f t="shared" si="32"/>
        <v>46366</v>
      </c>
      <c r="G164" s="228"/>
      <c r="H164" s="19">
        <v>2.9420000000000002</v>
      </c>
      <c r="I164" s="71" t="s">
        <v>19</v>
      </c>
      <c r="J164" s="2" t="s">
        <v>4</v>
      </c>
      <c r="K164" s="2" t="s">
        <v>749</v>
      </c>
      <c r="L164" s="27" t="s">
        <v>5</v>
      </c>
      <c r="M164" s="67">
        <v>0.45</v>
      </c>
      <c r="N164" s="67"/>
      <c r="O164" s="87" t="s">
        <v>928</v>
      </c>
      <c r="P164" s="137" t="s">
        <v>929</v>
      </c>
      <c r="Q164" s="46" t="s">
        <v>1011</v>
      </c>
      <c r="R164" t="b">
        <f t="shared" si="44"/>
        <v>0</v>
      </c>
      <c r="S164" t="b">
        <f t="shared" si="33"/>
        <v>1</v>
      </c>
      <c r="T164" t="b">
        <f t="shared" si="34"/>
        <v>1</v>
      </c>
      <c r="U164" s="46" t="s">
        <v>842</v>
      </c>
      <c r="V164" s="225" t="str">
        <f t="shared" si="35"/>
        <v>SHARSK 2.942 06/10/27</v>
      </c>
      <c r="W164" s="67">
        <f t="shared" si="42"/>
        <v>1.1250000000000001E-2</v>
      </c>
      <c r="X164" s="151">
        <f t="shared" si="36"/>
        <v>2250.0000000000005</v>
      </c>
      <c r="Y164" s="152">
        <f ca="1">((Main!$C$4-D164)*(200000*(H164/100))/360)*0.025</f>
        <v>28.602777777777778</v>
      </c>
      <c r="Z164" s="152">
        <f t="shared" ca="1" si="37"/>
        <v>2278.6027777777781</v>
      </c>
      <c r="AA164" s="153">
        <f t="shared" ca="1" si="38"/>
        <v>8368.1687013888895</v>
      </c>
      <c r="AC164" s="67">
        <f t="shared" si="43"/>
        <v>1.1596500000000001E-2</v>
      </c>
      <c r="AD164" s="151">
        <f t="shared" si="39"/>
        <v>2319.3000000000002</v>
      </c>
      <c r="AE164">
        <f ca="1">((Main!$C$4-D164)*(200000*(H164/100))/360)*0.02577</f>
        <v>29.483743333333333</v>
      </c>
      <c r="AF164" s="152">
        <f t="shared" ca="1" si="40"/>
        <v>2348.7837433333334</v>
      </c>
      <c r="AG164" s="153">
        <f t="shared" ca="1" si="41"/>
        <v>8625.9082973916666</v>
      </c>
    </row>
    <row r="165" spans="1:33" ht="12.75" customHeight="1" x14ac:dyDescent="0.35">
      <c r="A165" s="38" t="s">
        <v>453</v>
      </c>
      <c r="B165" s="46" t="s">
        <v>843</v>
      </c>
      <c r="C165" s="22" t="s">
        <v>454</v>
      </c>
      <c r="D165" s="75">
        <f t="shared" si="31"/>
        <v>45934</v>
      </c>
      <c r="E165" s="75" t="s">
        <v>639</v>
      </c>
      <c r="F165" s="74">
        <f t="shared" si="32"/>
        <v>46299</v>
      </c>
      <c r="G165" s="228"/>
      <c r="H165" s="19">
        <v>3.8860000000000001</v>
      </c>
      <c r="I165" s="71" t="s">
        <v>19</v>
      </c>
      <c r="J165" s="2" t="s">
        <v>4</v>
      </c>
      <c r="K165" s="2" t="s">
        <v>749</v>
      </c>
      <c r="L165" s="27" t="s">
        <v>5</v>
      </c>
      <c r="M165" s="67">
        <v>0.45</v>
      </c>
      <c r="N165" s="67"/>
      <c r="O165" s="87" t="s">
        <v>928</v>
      </c>
      <c r="P165" s="137" t="s">
        <v>929</v>
      </c>
      <c r="Q165" s="46" t="s">
        <v>1011</v>
      </c>
      <c r="R165" t="b">
        <f t="shared" si="44"/>
        <v>0</v>
      </c>
      <c r="S165" t="b">
        <f t="shared" si="33"/>
        <v>1</v>
      </c>
      <c r="T165" t="b">
        <f t="shared" si="34"/>
        <v>1</v>
      </c>
      <c r="U165" s="46" t="s">
        <v>843</v>
      </c>
      <c r="V165" s="225" t="str">
        <f t="shared" si="35"/>
        <v>SHARSK 3.886 04APR2030</v>
      </c>
      <c r="W165" s="67">
        <f t="shared" si="42"/>
        <v>1.1250000000000001E-2</v>
      </c>
      <c r="X165" s="151">
        <f t="shared" si="36"/>
        <v>2250.0000000000005</v>
      </c>
      <c r="Y165" s="152">
        <f ca="1">((Main!$C$4-D165)*(200000*(H165/100))/360)*0.025</f>
        <v>73.941944444444445</v>
      </c>
      <c r="Z165" s="152">
        <f t="shared" ca="1" si="37"/>
        <v>2323.9419444444447</v>
      </c>
      <c r="AA165" s="153">
        <f t="shared" ca="1" si="38"/>
        <v>8534.6767909722239</v>
      </c>
      <c r="AC165" s="67">
        <f t="shared" si="43"/>
        <v>1.1596500000000001E-2</v>
      </c>
      <c r="AD165" s="151">
        <f t="shared" si="39"/>
        <v>2319.3000000000002</v>
      </c>
      <c r="AE165">
        <f ca="1">((Main!$C$4-D165)*(200000*(H165/100))/360)*0.02577</f>
        <v>76.219356333333337</v>
      </c>
      <c r="AF165" s="152">
        <f t="shared" ca="1" si="40"/>
        <v>2395.5193563333337</v>
      </c>
      <c r="AG165" s="153">
        <f t="shared" ca="1" si="41"/>
        <v>8797.5448361341678</v>
      </c>
    </row>
    <row r="166" spans="1:33" ht="12.75" customHeight="1" x14ac:dyDescent="0.35">
      <c r="A166" s="38" t="s">
        <v>455</v>
      </c>
      <c r="B166" s="46" t="s">
        <v>844</v>
      </c>
      <c r="C166" s="22" t="s">
        <v>456</v>
      </c>
      <c r="D166" s="75">
        <f t="shared" si="31"/>
        <v>46007</v>
      </c>
      <c r="E166" s="75" t="s">
        <v>615</v>
      </c>
      <c r="F166" s="74">
        <f t="shared" si="32"/>
        <v>46372</v>
      </c>
      <c r="G166" s="228"/>
      <c r="H166" s="19">
        <v>5</v>
      </c>
      <c r="I166" s="71" t="s">
        <v>19</v>
      </c>
      <c r="J166" s="2" t="s">
        <v>4</v>
      </c>
      <c r="K166" s="2" t="s">
        <v>749</v>
      </c>
      <c r="L166" s="27" t="s">
        <v>5</v>
      </c>
      <c r="M166" s="67">
        <v>0.45</v>
      </c>
      <c r="N166" s="67"/>
      <c r="O166" s="87" t="s">
        <v>928</v>
      </c>
      <c r="P166" s="137" t="s">
        <v>929</v>
      </c>
      <c r="Q166" s="46" t="s">
        <v>1011</v>
      </c>
      <c r="R166" t="b">
        <f t="shared" si="44"/>
        <v>0</v>
      </c>
      <c r="S166" t="b">
        <f t="shared" si="33"/>
        <v>1</v>
      </c>
      <c r="T166" t="b">
        <f t="shared" si="34"/>
        <v>1</v>
      </c>
      <c r="U166" s="46" t="s">
        <v>844</v>
      </c>
      <c r="V166" s="225" t="str">
        <f t="shared" si="35"/>
        <v>SHARSK 5  16/06/2033</v>
      </c>
      <c r="W166" s="67">
        <f t="shared" si="42"/>
        <v>1.1250000000000001E-2</v>
      </c>
      <c r="X166" s="151">
        <f t="shared" si="36"/>
        <v>2250.0000000000005</v>
      </c>
      <c r="Y166" s="152">
        <f ca="1">((Main!$C$4-D166)*(200000*(H166/100))/360)*0.025</f>
        <v>44.44444444444445</v>
      </c>
      <c r="Z166" s="152">
        <f t="shared" ca="1" si="37"/>
        <v>2294.4444444444448</v>
      </c>
      <c r="AA166" s="153">
        <f t="shared" ca="1" si="38"/>
        <v>8426.3472222222226</v>
      </c>
      <c r="AC166" s="67">
        <f t="shared" si="43"/>
        <v>1.1596500000000001E-2</v>
      </c>
      <c r="AD166" s="151">
        <f t="shared" si="39"/>
        <v>2319.3000000000002</v>
      </c>
      <c r="AE166">
        <f ca="1">((Main!$C$4-D166)*(200000*(H166/100))/360)*0.02577</f>
        <v>45.81333333333334</v>
      </c>
      <c r="AF166" s="152">
        <f t="shared" ca="1" si="40"/>
        <v>2365.1133333333337</v>
      </c>
      <c r="AG166" s="153">
        <f t="shared" ca="1" si="41"/>
        <v>8685.878716666668</v>
      </c>
    </row>
    <row r="167" spans="1:33" ht="12.75" customHeight="1" x14ac:dyDescent="0.35">
      <c r="A167" s="38" t="s">
        <v>457</v>
      </c>
      <c r="B167" s="46" t="s">
        <v>845</v>
      </c>
      <c r="C167" s="22" t="s">
        <v>458</v>
      </c>
      <c r="D167" s="75">
        <f t="shared" si="31"/>
        <v>45986</v>
      </c>
      <c r="E167" s="75" t="s">
        <v>656</v>
      </c>
      <c r="F167" s="74">
        <f t="shared" si="32"/>
        <v>46351</v>
      </c>
      <c r="G167" s="228"/>
      <c r="H167" s="19">
        <v>5.1920000000000002</v>
      </c>
      <c r="I167" s="71" t="s">
        <v>19</v>
      </c>
      <c r="J167" s="2" t="s">
        <v>4</v>
      </c>
      <c r="K167" s="2" t="s">
        <v>749</v>
      </c>
      <c r="L167" s="27" t="s">
        <v>5</v>
      </c>
      <c r="M167" s="67">
        <v>0.45</v>
      </c>
      <c r="N167" s="67"/>
      <c r="O167" s="87" t="s">
        <v>928</v>
      </c>
      <c r="P167" s="137" t="s">
        <v>929</v>
      </c>
      <c r="Q167" s="46" t="s">
        <v>1011</v>
      </c>
      <c r="R167" t="b">
        <f t="shared" si="44"/>
        <v>0</v>
      </c>
      <c r="S167" t="b">
        <f t="shared" si="33"/>
        <v>1</v>
      </c>
      <c r="T167" t="b">
        <f t="shared" si="34"/>
        <v>1</v>
      </c>
      <c r="U167" s="46" t="s">
        <v>845</v>
      </c>
      <c r="V167" s="225" t="str">
        <f t="shared" si="35"/>
        <v>SHARSK 5.192 25/5/36</v>
      </c>
      <c r="W167" s="67">
        <f t="shared" si="42"/>
        <v>1.1250000000000001E-2</v>
      </c>
      <c r="X167" s="151">
        <f t="shared" si="36"/>
        <v>2250.0000000000005</v>
      </c>
      <c r="Y167" s="152">
        <f ca="1">((Main!$C$4-D167)*(200000*(H167/100))/360)*0.025</f>
        <v>61.294444444444451</v>
      </c>
      <c r="Z167" s="152">
        <f t="shared" ca="1" si="37"/>
        <v>2311.2944444444447</v>
      </c>
      <c r="AA167" s="153">
        <f t="shared" ca="1" si="38"/>
        <v>8488.2288472222226</v>
      </c>
      <c r="AC167" s="67">
        <f t="shared" si="43"/>
        <v>1.1596500000000001E-2</v>
      </c>
      <c r="AD167" s="151">
        <f t="shared" si="39"/>
        <v>2319.3000000000002</v>
      </c>
      <c r="AE167">
        <f ca="1">((Main!$C$4-D167)*(200000*(H167/100))/360)*0.02577</f>
        <v>63.18231333333334</v>
      </c>
      <c r="AF167" s="152">
        <f t="shared" ca="1" si="40"/>
        <v>2382.4823133333334</v>
      </c>
      <c r="AG167" s="153">
        <f t="shared" ca="1" si="41"/>
        <v>8749.6662957166664</v>
      </c>
    </row>
    <row r="168" spans="1:33" ht="12.75" customHeight="1" x14ac:dyDescent="0.35">
      <c r="A168" s="38" t="s">
        <v>459</v>
      </c>
      <c r="B168" s="46" t="s">
        <v>846</v>
      </c>
      <c r="C168" s="22" t="s">
        <v>460</v>
      </c>
      <c r="D168" s="75">
        <f t="shared" si="31"/>
        <v>45947</v>
      </c>
      <c r="E168" s="75" t="s">
        <v>657</v>
      </c>
      <c r="F168" s="74">
        <f t="shared" si="32"/>
        <v>46312</v>
      </c>
      <c r="G168" s="228"/>
      <c r="H168" s="19">
        <v>5.4329999999999998</v>
      </c>
      <c r="I168" s="71" t="s">
        <v>19</v>
      </c>
      <c r="J168" s="2" t="s">
        <v>4</v>
      </c>
      <c r="K168" s="2" t="s">
        <v>749</v>
      </c>
      <c r="L168" s="2" t="s">
        <v>5</v>
      </c>
      <c r="M168" s="67">
        <v>0.45</v>
      </c>
      <c r="N168" s="67"/>
      <c r="O168" s="87" t="s">
        <v>928</v>
      </c>
      <c r="P168" s="137" t="s">
        <v>929</v>
      </c>
      <c r="Q168" s="46" t="s">
        <v>1011</v>
      </c>
      <c r="R168" t="b">
        <f t="shared" si="44"/>
        <v>0</v>
      </c>
      <c r="S168" t="b">
        <f t="shared" si="33"/>
        <v>1</v>
      </c>
      <c r="T168" t="b">
        <f t="shared" si="34"/>
        <v>1</v>
      </c>
      <c r="U168" s="46" t="s">
        <v>846</v>
      </c>
      <c r="V168" s="225" t="str">
        <f t="shared" si="35"/>
        <v>SHARSK 5.433 17/04/2035</v>
      </c>
      <c r="W168" s="67">
        <f t="shared" si="42"/>
        <v>1.1250000000000001E-2</v>
      </c>
      <c r="X168" s="151">
        <f t="shared" si="36"/>
        <v>2250.0000000000005</v>
      </c>
      <c r="Y168" s="152">
        <f ca="1">((Main!$C$4-D168)*(200000*(H168/100))/360)*0.025</f>
        <v>93.568333333333328</v>
      </c>
      <c r="Z168" s="152">
        <f t="shared" ca="1" si="37"/>
        <v>2343.5683333333336</v>
      </c>
      <c r="AA168" s="153">
        <f t="shared" ca="1" si="38"/>
        <v>8606.7547041666676</v>
      </c>
      <c r="AC168" s="67">
        <f t="shared" si="43"/>
        <v>1.1596500000000001E-2</v>
      </c>
      <c r="AD168" s="151">
        <f t="shared" si="39"/>
        <v>2319.3000000000002</v>
      </c>
      <c r="AE168">
        <f ca="1">((Main!$C$4-D168)*(200000*(H168/100))/360)*0.02577</f>
        <v>96.450237999999999</v>
      </c>
      <c r="AF168" s="152">
        <f t="shared" ca="1" si="40"/>
        <v>2415.7502380000001</v>
      </c>
      <c r="AG168" s="153">
        <f t="shared" ca="1" si="41"/>
        <v>8871.8427490550002</v>
      </c>
    </row>
    <row r="169" spans="1:33" ht="12.75" customHeight="1" x14ac:dyDescent="0.35">
      <c r="A169" s="38" t="s">
        <v>461</v>
      </c>
      <c r="B169" s="46" t="s">
        <v>847</v>
      </c>
      <c r="C169" s="22" t="s">
        <v>462</v>
      </c>
      <c r="D169" s="75">
        <f t="shared" si="31"/>
        <v>46032</v>
      </c>
      <c r="E169" s="75" t="s">
        <v>612</v>
      </c>
      <c r="F169" s="74">
        <f t="shared" si="32"/>
        <v>46397</v>
      </c>
      <c r="G169" s="228"/>
      <c r="H169" s="19">
        <v>5.5</v>
      </c>
      <c r="I169" s="71" t="s">
        <v>19</v>
      </c>
      <c r="J169" s="2" t="s">
        <v>4</v>
      </c>
      <c r="K169" s="2" t="s">
        <v>749</v>
      </c>
      <c r="L169" s="2" t="s">
        <v>5</v>
      </c>
      <c r="M169" s="67">
        <v>0.45</v>
      </c>
      <c r="N169" s="67"/>
      <c r="O169" s="87" t="s">
        <v>928</v>
      </c>
      <c r="P169" s="137" t="s">
        <v>929</v>
      </c>
      <c r="Q169" s="46" t="s">
        <v>1011</v>
      </c>
      <c r="R169" t="b">
        <f t="shared" si="44"/>
        <v>0</v>
      </c>
      <c r="S169" t="b">
        <f t="shared" si="33"/>
        <v>1</v>
      </c>
      <c r="T169" t="b">
        <f t="shared" si="34"/>
        <v>1</v>
      </c>
      <c r="U169" s="46" t="s">
        <v>847</v>
      </c>
      <c r="V169" s="225" t="str">
        <f t="shared" si="35"/>
        <v>SHARSK 5.5 10/07/2029</v>
      </c>
      <c r="W169" s="67">
        <f t="shared" si="42"/>
        <v>1.1250000000000001E-2</v>
      </c>
      <c r="X169" s="151">
        <f t="shared" si="36"/>
        <v>2250.0000000000005</v>
      </c>
      <c r="Y169" s="152">
        <f ca="1">((Main!$C$4-D169)*(200000*(H169/100))/360)*0.025</f>
        <v>29.791666666666671</v>
      </c>
      <c r="Z169" s="152">
        <f t="shared" ca="1" si="37"/>
        <v>2279.791666666667</v>
      </c>
      <c r="AA169" s="153">
        <f t="shared" ca="1" si="38"/>
        <v>8372.5348958333343</v>
      </c>
      <c r="AC169" s="67">
        <f t="shared" si="43"/>
        <v>1.1596500000000001E-2</v>
      </c>
      <c r="AD169" s="151">
        <f t="shared" si="39"/>
        <v>2319.3000000000002</v>
      </c>
      <c r="AE169">
        <f ca="1">((Main!$C$4-D169)*(200000*(H169/100))/360)*0.02577</f>
        <v>30.709250000000004</v>
      </c>
      <c r="AF169" s="152">
        <f t="shared" ca="1" si="40"/>
        <v>2350.0092500000001</v>
      </c>
      <c r="AG169" s="153">
        <f t="shared" ca="1" si="41"/>
        <v>8630.4089706249997</v>
      </c>
    </row>
    <row r="170" spans="1:33" ht="12.75" customHeight="1" x14ac:dyDescent="0.35">
      <c r="A170" s="38" t="s">
        <v>463</v>
      </c>
      <c r="B170" s="46" t="s">
        <v>848</v>
      </c>
      <c r="C170" s="22" t="s">
        <v>464</v>
      </c>
      <c r="D170" s="75">
        <f t="shared" si="31"/>
        <v>45919</v>
      </c>
      <c r="E170" s="75" t="s">
        <v>658</v>
      </c>
      <c r="F170" s="74">
        <f t="shared" si="32"/>
        <v>46284</v>
      </c>
      <c r="G170" s="228"/>
      <c r="H170" s="19">
        <v>6.0919999999999996</v>
      </c>
      <c r="I170" s="71" t="s">
        <v>19</v>
      </c>
      <c r="J170" s="2" t="s">
        <v>4</v>
      </c>
      <c r="K170" s="2" t="s">
        <v>749</v>
      </c>
      <c r="L170" s="27" t="s">
        <v>5</v>
      </c>
      <c r="M170" s="67">
        <v>0.45</v>
      </c>
      <c r="N170" s="67"/>
      <c r="O170" s="87" t="s">
        <v>928</v>
      </c>
      <c r="P170" s="137" t="s">
        <v>929</v>
      </c>
      <c r="Q170" s="46" t="s">
        <v>1011</v>
      </c>
      <c r="R170" t="b">
        <f t="shared" si="44"/>
        <v>0</v>
      </c>
      <c r="S170" t="b">
        <f t="shared" si="33"/>
        <v>1</v>
      </c>
      <c r="T170" t="b">
        <f t="shared" si="34"/>
        <v>1</v>
      </c>
      <c r="U170" s="46" t="s">
        <v>848</v>
      </c>
      <c r="V170" s="225" t="str">
        <f t="shared" si="35"/>
        <v>SHARSK 6.092 19/03/34</v>
      </c>
      <c r="W170" s="67">
        <f t="shared" si="42"/>
        <v>1.1250000000000001E-2</v>
      </c>
      <c r="X170" s="151">
        <f t="shared" si="36"/>
        <v>2250.0000000000005</v>
      </c>
      <c r="Y170" s="152">
        <f ca="1">((Main!$C$4-D170)*(200000*(H170/100))/360)*0.025</f>
        <v>128.60888888888888</v>
      </c>
      <c r="Z170" s="152">
        <f t="shared" ca="1" si="37"/>
        <v>2378.6088888888894</v>
      </c>
      <c r="AA170" s="153">
        <f t="shared" ca="1" si="38"/>
        <v>8735.4411444444468</v>
      </c>
      <c r="AC170" s="67">
        <f t="shared" si="43"/>
        <v>1.1596500000000001E-2</v>
      </c>
      <c r="AD170" s="151">
        <f t="shared" si="39"/>
        <v>2319.3000000000002</v>
      </c>
      <c r="AE170">
        <f ca="1">((Main!$C$4-D170)*(200000*(H170/100))/360)*0.02577</f>
        <v>132.57004266666667</v>
      </c>
      <c r="AF170" s="152">
        <f t="shared" ca="1" si="40"/>
        <v>2451.8700426666669</v>
      </c>
      <c r="AG170" s="153">
        <f t="shared" ca="1" si="41"/>
        <v>9004.4927316933336</v>
      </c>
    </row>
    <row r="171" spans="1:33" ht="12.75" customHeight="1" x14ac:dyDescent="0.35">
      <c r="A171" s="38" t="s">
        <v>465</v>
      </c>
      <c r="B171" s="46" t="s">
        <v>849</v>
      </c>
      <c r="C171" s="22" t="s">
        <v>466</v>
      </c>
      <c r="D171" s="75">
        <f t="shared" si="31"/>
        <v>46035</v>
      </c>
      <c r="E171" s="75" t="s">
        <v>659</v>
      </c>
      <c r="F171" s="74">
        <f t="shared" si="32"/>
        <v>46400</v>
      </c>
      <c r="G171" s="228"/>
      <c r="H171" s="19">
        <v>3.2</v>
      </c>
      <c r="I171" s="71" t="s">
        <v>19</v>
      </c>
      <c r="J171" s="2" t="s">
        <v>4</v>
      </c>
      <c r="K171" s="2" t="s">
        <v>749</v>
      </c>
      <c r="L171" s="27" t="s">
        <v>5</v>
      </c>
      <c r="M171" s="67">
        <v>0.45</v>
      </c>
      <c r="N171" s="67"/>
      <c r="O171" s="87" t="s">
        <v>928</v>
      </c>
      <c r="P171" s="137" t="s">
        <v>929</v>
      </c>
      <c r="Q171" s="46" t="s">
        <v>1011</v>
      </c>
      <c r="R171" t="b">
        <f t="shared" si="44"/>
        <v>0</v>
      </c>
      <c r="S171" t="b">
        <f t="shared" si="33"/>
        <v>1</v>
      </c>
      <c r="T171" t="b">
        <f t="shared" si="34"/>
        <v>1</v>
      </c>
      <c r="U171" s="46" t="s">
        <v>849</v>
      </c>
      <c r="V171" s="225" t="str">
        <f t="shared" si="35"/>
        <v>SHARSK3.2 13JUL2031</v>
      </c>
      <c r="W171" s="67">
        <f t="shared" si="42"/>
        <v>1.1250000000000001E-2</v>
      </c>
      <c r="X171" s="151">
        <f t="shared" si="36"/>
        <v>2250.0000000000005</v>
      </c>
      <c r="Y171" s="152">
        <f ca="1">((Main!$C$4-D171)*(200000*(H171/100))/360)*0.025</f>
        <v>16</v>
      </c>
      <c r="Z171" s="152">
        <f t="shared" ca="1" si="37"/>
        <v>2266.0000000000005</v>
      </c>
      <c r="AA171" s="153">
        <f t="shared" ca="1" si="38"/>
        <v>8321.885000000002</v>
      </c>
      <c r="AC171" s="67">
        <f t="shared" si="43"/>
        <v>1.1596500000000001E-2</v>
      </c>
      <c r="AD171" s="151">
        <f t="shared" si="39"/>
        <v>2319.3000000000002</v>
      </c>
      <c r="AE171">
        <f ca="1">((Main!$C$4-D171)*(200000*(H171/100))/360)*0.02577</f>
        <v>16.492800000000003</v>
      </c>
      <c r="AF171" s="152">
        <f t="shared" ca="1" si="40"/>
        <v>2335.7928000000002</v>
      </c>
      <c r="AG171" s="153">
        <f t="shared" ca="1" si="41"/>
        <v>8578.1990580000002</v>
      </c>
    </row>
    <row r="172" spans="1:33" ht="12.75" customHeight="1" x14ac:dyDescent="0.35">
      <c r="A172" s="38" t="s">
        <v>467</v>
      </c>
      <c r="B172" s="46" t="s">
        <v>850</v>
      </c>
      <c r="C172" s="22" t="s">
        <v>468</v>
      </c>
      <c r="D172" s="75">
        <f t="shared" si="31"/>
        <v>45914</v>
      </c>
      <c r="E172" s="75" t="s">
        <v>660</v>
      </c>
      <c r="F172" s="74">
        <f t="shared" si="32"/>
        <v>46279</v>
      </c>
      <c r="G172" s="228"/>
      <c r="H172" s="19">
        <v>4.226</v>
      </c>
      <c r="I172" s="71" t="s">
        <v>19</v>
      </c>
      <c r="J172" s="2" t="s">
        <v>4</v>
      </c>
      <c r="K172" s="2" t="s">
        <v>749</v>
      </c>
      <c r="L172" s="27" t="s">
        <v>5</v>
      </c>
      <c r="M172" s="67">
        <v>0.45</v>
      </c>
      <c r="N172" s="67"/>
      <c r="O172" s="87" t="s">
        <v>928</v>
      </c>
      <c r="P172" s="137" t="s">
        <v>929</v>
      </c>
      <c r="Q172" s="46" t="s">
        <v>1011</v>
      </c>
      <c r="R172" t="b">
        <f t="shared" si="44"/>
        <v>0</v>
      </c>
      <c r="S172" t="b">
        <f t="shared" si="33"/>
        <v>1</v>
      </c>
      <c r="T172" t="b">
        <f t="shared" si="34"/>
        <v>1</v>
      </c>
      <c r="U172" s="46" t="s">
        <v>850</v>
      </c>
      <c r="V172" s="225" t="str">
        <f t="shared" si="35"/>
        <v>SHRJAH 4.226 - 03/14/28</v>
      </c>
      <c r="W172" s="67">
        <f t="shared" si="42"/>
        <v>1.1250000000000001E-2</v>
      </c>
      <c r="X172" s="151">
        <f t="shared" si="36"/>
        <v>2250.0000000000005</v>
      </c>
      <c r="Y172" s="152">
        <f ca="1">((Main!$C$4-D172)*(200000*(H172/100))/360)*0.025</f>
        <v>92.150277777777774</v>
      </c>
      <c r="Z172" s="152">
        <f t="shared" ca="1" si="37"/>
        <v>2342.1502777777782</v>
      </c>
      <c r="AA172" s="153">
        <f t="shared" ca="1" si="38"/>
        <v>8601.5468951388902</v>
      </c>
      <c r="AC172" s="67">
        <f t="shared" si="43"/>
        <v>1.1596500000000001E-2</v>
      </c>
      <c r="AD172" s="151">
        <f t="shared" si="39"/>
        <v>2319.3000000000002</v>
      </c>
      <c r="AE172">
        <f ca="1">((Main!$C$4-D172)*(200000*(H172/100))/360)*0.02577</f>
        <v>94.988506333333333</v>
      </c>
      <c r="AF172" s="152">
        <f t="shared" ca="1" si="40"/>
        <v>2414.2885063333333</v>
      </c>
      <c r="AG172" s="153">
        <f t="shared" ca="1" si="41"/>
        <v>8866.4745395091668</v>
      </c>
    </row>
    <row r="173" spans="1:33" ht="12.75" customHeight="1" x14ac:dyDescent="0.35">
      <c r="A173" s="38" t="s">
        <v>378</v>
      </c>
      <c r="B173" s="46" t="s">
        <v>851</v>
      </c>
      <c r="C173" s="22" t="s">
        <v>379</v>
      </c>
      <c r="D173" s="75">
        <f t="shared" si="31"/>
        <v>45947</v>
      </c>
      <c r="E173" s="75" t="s">
        <v>657</v>
      </c>
      <c r="F173" s="74">
        <f t="shared" si="32"/>
        <v>46312</v>
      </c>
      <c r="G173" s="228"/>
      <c r="H173" s="19">
        <v>4.5250000000000004</v>
      </c>
      <c r="I173" s="71" t="s">
        <v>19</v>
      </c>
      <c r="J173" s="2" t="s">
        <v>8</v>
      </c>
      <c r="K173" s="60" t="s">
        <v>748</v>
      </c>
      <c r="L173" s="27" t="s">
        <v>380</v>
      </c>
      <c r="M173" s="67">
        <v>0</v>
      </c>
      <c r="N173" s="67"/>
      <c r="O173" s="87" t="s">
        <v>933</v>
      </c>
      <c r="P173" s="137" t="s">
        <v>927</v>
      </c>
      <c r="Q173" s="46" t="s">
        <v>1012</v>
      </c>
      <c r="R173" t="b">
        <f t="shared" si="44"/>
        <v>0</v>
      </c>
      <c r="S173" t="b">
        <f t="shared" si="33"/>
        <v>1</v>
      </c>
      <c r="T173" t="b">
        <f t="shared" si="34"/>
        <v>1</v>
      </c>
      <c r="U173" s="46" t="s">
        <v>851</v>
      </c>
      <c r="V173" s="225" t="str">
        <f t="shared" si="35"/>
        <v>OMANGS 4.525 17/04/33</v>
      </c>
      <c r="W173" s="67">
        <f t="shared" si="42"/>
        <v>0</v>
      </c>
      <c r="X173" s="151">
        <f t="shared" si="36"/>
        <v>0</v>
      </c>
      <c r="Y173" s="152">
        <f ca="1">((Main!$C$4-D173)*(200000*(H173/100))/360)*0.025</f>
        <v>77.930555555555586</v>
      </c>
      <c r="Z173" s="152">
        <f t="shared" ca="1" si="37"/>
        <v>77.930555555555586</v>
      </c>
      <c r="AA173" s="153">
        <f t="shared" ca="1" si="38"/>
        <v>286.19996527777789</v>
      </c>
      <c r="AC173" s="67">
        <f t="shared" si="43"/>
        <v>0</v>
      </c>
      <c r="AD173" s="151">
        <f t="shared" si="39"/>
        <v>0</v>
      </c>
      <c r="AE173">
        <f ca="1">((Main!$C$4-D173)*(200000*(H173/100))/360)*0.02577</f>
        <v>80.330816666666692</v>
      </c>
      <c r="AF173" s="152">
        <f t="shared" ca="1" si="40"/>
        <v>80.330816666666692</v>
      </c>
      <c r="AG173" s="153">
        <f t="shared" ca="1" si="41"/>
        <v>295.01492420833341</v>
      </c>
    </row>
    <row r="174" spans="1:33" ht="12.75" customHeight="1" x14ac:dyDescent="0.35">
      <c r="A174" s="38" t="s">
        <v>381</v>
      </c>
      <c r="B174" s="46" t="s">
        <v>852</v>
      </c>
      <c r="C174" s="22" t="s">
        <v>382</v>
      </c>
      <c r="D174" s="75">
        <f t="shared" si="31"/>
        <v>46006</v>
      </c>
      <c r="E174" s="75" t="s">
        <v>661</v>
      </c>
      <c r="F174" s="74">
        <f t="shared" si="32"/>
        <v>46371</v>
      </c>
      <c r="G174" s="228"/>
      <c r="H174" s="19">
        <v>4.875</v>
      </c>
      <c r="I174" s="71" t="s">
        <v>19</v>
      </c>
      <c r="J174" s="2" t="s">
        <v>8</v>
      </c>
      <c r="K174" s="60" t="s">
        <v>748</v>
      </c>
      <c r="L174" s="27" t="s">
        <v>380</v>
      </c>
      <c r="M174" s="67">
        <v>0</v>
      </c>
      <c r="N174" s="67"/>
      <c r="O174" s="87" t="s">
        <v>933</v>
      </c>
      <c r="P174" s="137" t="s">
        <v>927</v>
      </c>
      <c r="Q174" s="46" t="s">
        <v>1012</v>
      </c>
      <c r="R174" t="b">
        <f t="shared" si="44"/>
        <v>0</v>
      </c>
      <c r="S174" t="b">
        <f t="shared" si="33"/>
        <v>1</v>
      </c>
      <c r="T174" t="b">
        <f t="shared" si="34"/>
        <v>1</v>
      </c>
      <c r="U174" s="46" t="s">
        <v>852</v>
      </c>
      <c r="V174" s="225" t="str">
        <f t="shared" si="35"/>
        <v>OMANGSK4.875-15-06-30</v>
      </c>
      <c r="W174" s="67">
        <f t="shared" si="42"/>
        <v>0</v>
      </c>
      <c r="X174" s="151">
        <f t="shared" si="36"/>
        <v>0</v>
      </c>
      <c r="Y174" s="152">
        <f ca="1">((Main!$C$4-D174)*(200000*(H174/100))/360)*0.025</f>
        <v>44.010416666666671</v>
      </c>
      <c r="Z174" s="152">
        <f t="shared" ca="1" si="37"/>
        <v>44.010416666666671</v>
      </c>
      <c r="AA174" s="153">
        <f t="shared" ca="1" si="38"/>
        <v>161.62825520833334</v>
      </c>
      <c r="AC174" s="67">
        <f t="shared" si="43"/>
        <v>0</v>
      </c>
      <c r="AD174" s="151">
        <f t="shared" si="39"/>
        <v>0</v>
      </c>
      <c r="AE174">
        <f ca="1">((Main!$C$4-D174)*(200000*(H174/100))/360)*0.02577</f>
        <v>45.365937500000001</v>
      </c>
      <c r="AF174" s="152">
        <f t="shared" ca="1" si="40"/>
        <v>45.365937500000001</v>
      </c>
      <c r="AG174" s="153">
        <f t="shared" ca="1" si="41"/>
        <v>166.60640546875001</v>
      </c>
    </row>
    <row r="175" spans="1:33" ht="12.75" customHeight="1" x14ac:dyDescent="0.35">
      <c r="A175" s="38" t="s">
        <v>299</v>
      </c>
      <c r="B175" s="46" t="s">
        <v>853</v>
      </c>
      <c r="C175" s="22" t="s">
        <v>300</v>
      </c>
      <c r="D175" s="75">
        <f t="shared" si="31"/>
        <v>45939</v>
      </c>
      <c r="E175" s="75" t="s">
        <v>570</v>
      </c>
      <c r="F175" s="74">
        <f t="shared" si="32"/>
        <v>46304</v>
      </c>
      <c r="G175" s="228"/>
      <c r="H175" s="19">
        <v>4.391</v>
      </c>
      <c r="I175" s="71" t="s">
        <v>19</v>
      </c>
      <c r="J175" s="2" t="s">
        <v>54</v>
      </c>
      <c r="K175" s="2" t="s">
        <v>759</v>
      </c>
      <c r="L175" s="1" t="s">
        <v>301</v>
      </c>
      <c r="M175" s="67">
        <v>0.45</v>
      </c>
      <c r="N175" s="67"/>
      <c r="O175" s="87" t="s">
        <v>946</v>
      </c>
      <c r="P175" s="137" t="s">
        <v>947</v>
      </c>
      <c r="Q175" s="46" t="s">
        <v>1013</v>
      </c>
      <c r="R175" t="b">
        <f t="shared" si="44"/>
        <v>0</v>
      </c>
      <c r="S175" t="b">
        <f t="shared" si="33"/>
        <v>1</v>
      </c>
      <c r="T175" t="b">
        <f t="shared" si="34"/>
        <v>1</v>
      </c>
      <c r="U175" s="46" t="s">
        <v>853</v>
      </c>
      <c r="V175" s="225" t="str">
        <f t="shared" si="35"/>
        <v>ISCODV 4.391 10/09/30 EMTN</v>
      </c>
      <c r="W175" s="67">
        <f t="shared" si="42"/>
        <v>1.1250000000000001E-2</v>
      </c>
      <c r="X175" s="151">
        <f t="shared" si="36"/>
        <v>2250.0000000000005</v>
      </c>
      <c r="Y175" s="152">
        <f ca="1">((Main!$C$4-D175)*(200000*(H175/100))/360)*0.025</f>
        <v>80.501666666666665</v>
      </c>
      <c r="Z175" s="152">
        <f t="shared" ca="1" si="37"/>
        <v>2330.501666666667</v>
      </c>
      <c r="AA175" s="153">
        <f t="shared" ca="1" si="38"/>
        <v>8558.767370833335</v>
      </c>
      <c r="AC175" s="67">
        <f t="shared" si="43"/>
        <v>1.1596500000000001E-2</v>
      </c>
      <c r="AD175" s="151">
        <f t="shared" si="39"/>
        <v>2319.3000000000002</v>
      </c>
      <c r="AE175">
        <f ca="1">((Main!$C$4-D175)*(200000*(H175/100))/360)*0.02577</f>
        <v>82.981118000000009</v>
      </c>
      <c r="AF175" s="152">
        <f t="shared" ca="1" si="40"/>
        <v>2402.2811180000003</v>
      </c>
      <c r="AG175" s="153">
        <f t="shared" ca="1" si="41"/>
        <v>8822.3774058550007</v>
      </c>
    </row>
    <row r="176" spans="1:33" ht="12.75" customHeight="1" x14ac:dyDescent="0.35">
      <c r="A176" s="38" t="s">
        <v>302</v>
      </c>
      <c r="B176" s="46" t="s">
        <v>854</v>
      </c>
      <c r="C176" s="22" t="s">
        <v>303</v>
      </c>
      <c r="D176" s="75">
        <f t="shared" si="31"/>
        <v>45883</v>
      </c>
      <c r="E176" s="75" t="s">
        <v>617</v>
      </c>
      <c r="F176" s="74">
        <f t="shared" si="32"/>
        <v>46248</v>
      </c>
      <c r="G176" s="228"/>
      <c r="H176" s="19">
        <v>4.95</v>
      </c>
      <c r="I176" s="71" t="s">
        <v>19</v>
      </c>
      <c r="J176" s="2" t="s">
        <v>54</v>
      </c>
      <c r="K176" s="2" t="s">
        <v>759</v>
      </c>
      <c r="L176" s="1" t="s">
        <v>301</v>
      </c>
      <c r="M176" s="67">
        <v>0.45</v>
      </c>
      <c r="N176" s="67"/>
      <c r="O176" s="87" t="s">
        <v>946</v>
      </c>
      <c r="P176" s="137" t="s">
        <v>947</v>
      </c>
      <c r="Q176" s="46" t="s">
        <v>1013</v>
      </c>
      <c r="R176" t="b">
        <f t="shared" si="44"/>
        <v>0</v>
      </c>
      <c r="S176" t="b">
        <f t="shared" si="33"/>
        <v>1</v>
      </c>
      <c r="T176" t="b">
        <f t="shared" si="34"/>
        <v>1</v>
      </c>
      <c r="U176" s="46" t="s">
        <v>854</v>
      </c>
      <c r="V176" s="225" t="str">
        <f t="shared" si="35"/>
        <v>ISCODV 4.95 14/02/2029</v>
      </c>
      <c r="W176" s="67">
        <f t="shared" si="42"/>
        <v>1.1250000000000001E-2</v>
      </c>
      <c r="X176" s="151">
        <f t="shared" si="36"/>
        <v>2250.0000000000005</v>
      </c>
      <c r="Y176" s="152">
        <f ca="1">((Main!$C$4-D176)*(200000*(H176/100))/360)*0.025</f>
        <v>129.25</v>
      </c>
      <c r="Z176" s="152">
        <f t="shared" ca="1" si="37"/>
        <v>2379.2500000000005</v>
      </c>
      <c r="AA176" s="153">
        <f t="shared" ca="1" si="38"/>
        <v>8737.7956250000007</v>
      </c>
      <c r="AC176" s="67">
        <f t="shared" si="43"/>
        <v>1.1596500000000001E-2</v>
      </c>
      <c r="AD176" s="151">
        <f t="shared" si="39"/>
        <v>2319.3000000000002</v>
      </c>
      <c r="AE176">
        <f ca="1">((Main!$C$4-D176)*(200000*(H176/100))/360)*0.02577</f>
        <v>133.23090000000002</v>
      </c>
      <c r="AF176" s="152">
        <f t="shared" ca="1" si="40"/>
        <v>2452.5309000000002</v>
      </c>
      <c r="AG176" s="153">
        <f t="shared" ca="1" si="41"/>
        <v>9006.9197302499997</v>
      </c>
    </row>
    <row r="177" spans="1:33" ht="12.75" customHeight="1" x14ac:dyDescent="0.35">
      <c r="A177" s="38" t="s">
        <v>326</v>
      </c>
      <c r="B177" s="46" t="s">
        <v>855</v>
      </c>
      <c r="C177" s="22" t="s">
        <v>327</v>
      </c>
      <c r="D177" s="75">
        <f t="shared" si="31"/>
        <v>45909</v>
      </c>
      <c r="E177" s="75" t="s">
        <v>565</v>
      </c>
      <c r="F177" s="74">
        <f t="shared" si="32"/>
        <v>46274</v>
      </c>
      <c r="G177" s="228"/>
      <c r="H177" s="19">
        <v>4.25</v>
      </c>
      <c r="I177" s="71" t="s">
        <v>19</v>
      </c>
      <c r="J177" s="2" t="s">
        <v>8</v>
      </c>
      <c r="K177" s="60" t="s">
        <v>741</v>
      </c>
      <c r="L177" s="2" t="s">
        <v>5</v>
      </c>
      <c r="M177" s="67">
        <v>0</v>
      </c>
      <c r="N177" s="67"/>
      <c r="O177" s="87" t="s">
        <v>933</v>
      </c>
      <c r="P177" s="137" t="s">
        <v>927</v>
      </c>
      <c r="Q177" s="46" t="s">
        <v>1014</v>
      </c>
      <c r="R177" t="b">
        <f t="shared" si="44"/>
        <v>0</v>
      </c>
      <c r="S177" t="b">
        <f t="shared" si="33"/>
        <v>1</v>
      </c>
      <c r="T177" t="b">
        <f t="shared" si="34"/>
        <v>1</v>
      </c>
      <c r="U177" s="46" t="s">
        <v>855</v>
      </c>
      <c r="V177" s="225" t="str">
        <f t="shared" si="35"/>
        <v>KSA SK 4.25 09/09/30</v>
      </c>
      <c r="W177" s="67">
        <f t="shared" si="42"/>
        <v>0</v>
      </c>
      <c r="X177" s="151">
        <f t="shared" si="36"/>
        <v>0</v>
      </c>
      <c r="Y177" s="152">
        <f ca="1">((Main!$C$4-D177)*(200000*(H177/100))/360)*0.025</f>
        <v>95.625</v>
      </c>
      <c r="Z177" s="152">
        <f t="shared" ca="1" si="37"/>
        <v>95.625</v>
      </c>
      <c r="AA177" s="153">
        <f t="shared" ca="1" si="38"/>
        <v>351.18281250000001</v>
      </c>
      <c r="AC177" s="67">
        <f t="shared" si="43"/>
        <v>0</v>
      </c>
      <c r="AD177" s="151">
        <f t="shared" si="39"/>
        <v>0</v>
      </c>
      <c r="AE177">
        <f ca="1">((Main!$C$4-D177)*(200000*(H177/100))/360)*0.02577</f>
        <v>98.570250000000001</v>
      </c>
      <c r="AF177" s="152">
        <f t="shared" ca="1" si="40"/>
        <v>98.570250000000001</v>
      </c>
      <c r="AG177" s="153">
        <f t="shared" ca="1" si="41"/>
        <v>361.99924312500002</v>
      </c>
    </row>
    <row r="178" spans="1:33" ht="12.75" customHeight="1" x14ac:dyDescent="0.35">
      <c r="A178" s="38" t="s">
        <v>328</v>
      </c>
      <c r="B178" s="46" t="s">
        <v>856</v>
      </c>
      <c r="C178" s="22" t="s">
        <v>329</v>
      </c>
      <c r="D178" s="75">
        <f t="shared" si="31"/>
        <v>45909</v>
      </c>
      <c r="E178" s="75" t="s">
        <v>565</v>
      </c>
      <c r="F178" s="74">
        <f t="shared" si="32"/>
        <v>46274</v>
      </c>
      <c r="G178" s="228"/>
      <c r="H178" s="19">
        <v>4.875</v>
      </c>
      <c r="I178" s="71" t="s">
        <v>19</v>
      </c>
      <c r="J178" s="2" t="s">
        <v>8</v>
      </c>
      <c r="K178" s="60" t="s">
        <v>741</v>
      </c>
      <c r="L178" s="2" t="s">
        <v>5</v>
      </c>
      <c r="M178" s="67">
        <v>0</v>
      </c>
      <c r="N178" s="67"/>
      <c r="O178" s="87" t="s">
        <v>933</v>
      </c>
      <c r="P178" s="137" t="s">
        <v>927</v>
      </c>
      <c r="Q178" s="46" t="s">
        <v>1014</v>
      </c>
      <c r="R178" t="b">
        <f t="shared" si="44"/>
        <v>0</v>
      </c>
      <c r="S178" t="b">
        <f t="shared" si="33"/>
        <v>1</v>
      </c>
      <c r="T178" t="b">
        <f t="shared" si="34"/>
        <v>1</v>
      </c>
      <c r="U178" s="46" t="s">
        <v>856</v>
      </c>
      <c r="V178" s="225" t="str">
        <f t="shared" si="35"/>
        <v>KSA SK 4.875 09/09/35</v>
      </c>
      <c r="W178" s="67">
        <f t="shared" si="42"/>
        <v>0</v>
      </c>
      <c r="X178" s="151">
        <f t="shared" si="36"/>
        <v>0</v>
      </c>
      <c r="Y178" s="152">
        <f ca="1">((Main!$C$4-D178)*(200000*(H178/100))/360)*0.025</f>
        <v>109.6875</v>
      </c>
      <c r="Z178" s="152">
        <f t="shared" ca="1" si="37"/>
        <v>109.6875</v>
      </c>
      <c r="AA178" s="153">
        <f t="shared" ca="1" si="38"/>
        <v>402.82734375000001</v>
      </c>
      <c r="AC178" s="67">
        <f t="shared" si="43"/>
        <v>0</v>
      </c>
      <c r="AD178" s="151">
        <f t="shared" si="39"/>
        <v>0</v>
      </c>
      <c r="AE178">
        <f ca="1">((Main!$C$4-D178)*(200000*(H178/100))/360)*0.02577</f>
        <v>113.06587500000001</v>
      </c>
      <c r="AF178" s="152">
        <f t="shared" ca="1" si="40"/>
        <v>113.06587500000001</v>
      </c>
      <c r="AG178" s="153">
        <f t="shared" ca="1" si="41"/>
        <v>415.23442593750002</v>
      </c>
    </row>
    <row r="179" spans="1:33" ht="12.75" customHeight="1" x14ac:dyDescent="0.35">
      <c r="A179" s="38" t="s">
        <v>373</v>
      </c>
      <c r="B179" s="46" t="s">
        <v>857</v>
      </c>
      <c r="C179" s="22" t="s">
        <v>374</v>
      </c>
      <c r="D179" s="75">
        <f t="shared" si="31"/>
        <v>45938</v>
      </c>
      <c r="E179" s="75" t="s">
        <v>646</v>
      </c>
      <c r="F179" s="74">
        <f t="shared" si="32"/>
        <v>46303</v>
      </c>
      <c r="G179" s="228"/>
      <c r="H179" s="19">
        <v>5.25</v>
      </c>
      <c r="I179" s="71" t="s">
        <v>19</v>
      </c>
      <c r="J179" s="2" t="s">
        <v>4</v>
      </c>
      <c r="K179" s="2" t="s">
        <v>749</v>
      </c>
      <c r="L179" s="27" t="s">
        <v>375</v>
      </c>
      <c r="M179" s="67">
        <v>0.45</v>
      </c>
      <c r="N179" s="67"/>
      <c r="O179" s="87" t="s">
        <v>928</v>
      </c>
      <c r="P179" s="137" t="s">
        <v>929</v>
      </c>
      <c r="Q179" s="46" t="s">
        <v>1015</v>
      </c>
      <c r="R179" t="b">
        <f t="shared" si="44"/>
        <v>0</v>
      </c>
      <c r="S179" t="b">
        <f t="shared" si="33"/>
        <v>1</v>
      </c>
      <c r="T179" t="b">
        <f t="shared" si="34"/>
        <v>1</v>
      </c>
      <c r="U179" s="46" t="s">
        <v>857</v>
      </c>
      <c r="V179" s="225" t="str">
        <f t="shared" si="35"/>
        <v>OILGAS 5.25-08-APR-2029</v>
      </c>
      <c r="W179" s="67">
        <f t="shared" si="42"/>
        <v>1.1250000000000001E-2</v>
      </c>
      <c r="X179" s="151">
        <f t="shared" si="36"/>
        <v>2250.0000000000005</v>
      </c>
      <c r="Y179" s="152">
        <f ca="1">((Main!$C$4-D179)*(200000*(H179/100))/360)*0.025</f>
        <v>96.979166666666671</v>
      </c>
      <c r="Z179" s="152">
        <f t="shared" ca="1" si="37"/>
        <v>2346.979166666667</v>
      </c>
      <c r="AA179" s="153">
        <f t="shared" ca="1" si="38"/>
        <v>8619.2809895833343</v>
      </c>
      <c r="AC179" s="67">
        <f t="shared" si="43"/>
        <v>1.1596500000000001E-2</v>
      </c>
      <c r="AD179" s="151">
        <f t="shared" si="39"/>
        <v>2319.3000000000002</v>
      </c>
      <c r="AE179">
        <f ca="1">((Main!$C$4-D179)*(200000*(H179/100))/360)*0.02577</f>
        <v>99.966125000000005</v>
      </c>
      <c r="AF179" s="152">
        <f t="shared" ca="1" si="40"/>
        <v>2419.2661250000001</v>
      </c>
      <c r="AG179" s="153">
        <f t="shared" ca="1" si="41"/>
        <v>8884.7548440624996</v>
      </c>
    </row>
    <row r="180" spans="1:33" ht="12.75" customHeight="1" x14ac:dyDescent="0.35">
      <c r="A180" s="38" t="s">
        <v>376</v>
      </c>
      <c r="B180" s="46" t="s">
        <v>858</v>
      </c>
      <c r="C180" s="22" t="s">
        <v>377</v>
      </c>
      <c r="D180" s="75">
        <f t="shared" si="31"/>
        <v>45986</v>
      </c>
      <c r="E180" s="75" t="s">
        <v>656</v>
      </c>
      <c r="F180" s="74">
        <f t="shared" si="32"/>
        <v>46351</v>
      </c>
      <c r="G180" s="228"/>
      <c r="H180" s="19">
        <v>6.625</v>
      </c>
      <c r="I180" s="71" t="s">
        <v>19</v>
      </c>
      <c r="J180" s="2" t="s">
        <v>4</v>
      </c>
      <c r="K180" s="2" t="s">
        <v>749</v>
      </c>
      <c r="L180" s="27" t="s">
        <v>375</v>
      </c>
      <c r="M180" s="67">
        <v>0.45</v>
      </c>
      <c r="N180" s="67"/>
      <c r="O180" s="87" t="s">
        <v>928</v>
      </c>
      <c r="P180" s="137" t="s">
        <v>929</v>
      </c>
      <c r="Q180" s="46" t="s">
        <v>1015</v>
      </c>
      <c r="R180" t="b">
        <f t="shared" si="44"/>
        <v>0</v>
      </c>
      <c r="S180" t="b">
        <f t="shared" si="33"/>
        <v>1</v>
      </c>
      <c r="T180" t="b">
        <f t="shared" si="34"/>
        <v>1</v>
      </c>
      <c r="U180" s="46" t="s">
        <v>858</v>
      </c>
      <c r="V180" s="225" t="str">
        <f t="shared" si="35"/>
        <v>OILGAS 6.625 25/05/2033</v>
      </c>
      <c r="W180" s="67">
        <f t="shared" si="42"/>
        <v>1.1250000000000001E-2</v>
      </c>
      <c r="X180" s="151">
        <f t="shared" si="36"/>
        <v>2250.0000000000005</v>
      </c>
      <c r="Y180" s="152">
        <f ca="1">((Main!$C$4-D180)*(200000*(H180/100))/360)*0.025</f>
        <v>78.211805555555557</v>
      </c>
      <c r="Z180" s="152">
        <f t="shared" ca="1" si="37"/>
        <v>2328.2118055555561</v>
      </c>
      <c r="AA180" s="153">
        <f t="shared" ca="1" si="38"/>
        <v>8550.3578559027792</v>
      </c>
      <c r="AC180" s="67">
        <f t="shared" si="43"/>
        <v>1.1596500000000001E-2</v>
      </c>
      <c r="AD180" s="151">
        <f t="shared" si="39"/>
        <v>2319.3000000000002</v>
      </c>
      <c r="AE180">
        <f ca="1">((Main!$C$4-D180)*(200000*(H180/100))/360)*0.02577</f>
        <v>80.620729166666663</v>
      </c>
      <c r="AF180" s="152">
        <f t="shared" ca="1" si="40"/>
        <v>2399.9207291666667</v>
      </c>
      <c r="AG180" s="153">
        <f t="shared" ca="1" si="41"/>
        <v>8813.708877864583</v>
      </c>
    </row>
    <row r="181" spans="1:33" ht="12.75" customHeight="1" x14ac:dyDescent="0.35">
      <c r="A181" s="38" t="s">
        <v>253</v>
      </c>
      <c r="B181" s="46" t="s">
        <v>859</v>
      </c>
      <c r="C181" s="22" t="s">
        <v>254</v>
      </c>
      <c r="D181" s="75">
        <f t="shared" si="31"/>
        <v>46000</v>
      </c>
      <c r="E181" s="75" t="s">
        <v>662</v>
      </c>
      <c r="F181" s="74">
        <f t="shared" si="32"/>
        <v>46365</v>
      </c>
      <c r="G181" s="228"/>
      <c r="H181" s="19">
        <v>3.55</v>
      </c>
      <c r="I181" s="71" t="s">
        <v>19</v>
      </c>
      <c r="J181" s="27" t="s">
        <v>255</v>
      </c>
      <c r="K181" s="27" t="s">
        <v>750</v>
      </c>
      <c r="L181" s="27" t="s">
        <v>256</v>
      </c>
      <c r="M181" s="67">
        <v>0.49</v>
      </c>
      <c r="N181" s="67"/>
      <c r="O181" s="87" t="s">
        <v>932</v>
      </c>
      <c r="P181" s="137" t="s">
        <v>934</v>
      </c>
      <c r="Q181" s="46" t="s">
        <v>1016</v>
      </c>
      <c r="R181" t="b">
        <f t="shared" si="44"/>
        <v>0</v>
      </c>
      <c r="S181" t="b">
        <f t="shared" si="33"/>
        <v>1</v>
      </c>
      <c r="T181" t="b">
        <f t="shared" si="34"/>
        <v>1</v>
      </c>
      <c r="U181" s="46" t="s">
        <v>859</v>
      </c>
      <c r="V181" s="225" t="str">
        <f t="shared" si="35"/>
        <v>INDIOS 3.55 - 09-JUN-51</v>
      </c>
      <c r="W181" s="67">
        <f t="shared" si="42"/>
        <v>1.225E-2</v>
      </c>
      <c r="X181" s="151">
        <f t="shared" si="36"/>
        <v>2450</v>
      </c>
      <c r="Y181" s="152">
        <f ca="1">((Main!$C$4-D181)*(200000*(H181/100))/360)*0.025</f>
        <v>35.006944444444443</v>
      </c>
      <c r="Z181" s="152">
        <f t="shared" ca="1" si="37"/>
        <v>2485.0069444444443</v>
      </c>
      <c r="AA181" s="153">
        <f t="shared" ca="1" si="38"/>
        <v>9126.1880034722217</v>
      </c>
      <c r="AC181" s="67">
        <f t="shared" si="43"/>
        <v>1.2627300000000001E-2</v>
      </c>
      <c r="AD181" s="151">
        <f t="shared" si="39"/>
        <v>2525.46</v>
      </c>
      <c r="AE181">
        <f ca="1">((Main!$C$4-D181)*(200000*(H181/100))/360)*0.02577</f>
        <v>36.085158333333332</v>
      </c>
      <c r="AF181" s="152">
        <f t="shared" ca="1" si="40"/>
        <v>2561.5451583333333</v>
      </c>
      <c r="AG181" s="153">
        <f t="shared" ca="1" si="41"/>
        <v>9407.2745939791657</v>
      </c>
    </row>
    <row r="182" spans="1:33" ht="12.75" customHeight="1" x14ac:dyDescent="0.35">
      <c r="A182" s="38" t="s">
        <v>273</v>
      </c>
      <c r="B182" s="46" t="s">
        <v>868</v>
      </c>
      <c r="C182" s="22" t="s">
        <v>274</v>
      </c>
      <c r="D182" s="75">
        <f t="shared" si="31"/>
        <v>45929</v>
      </c>
      <c r="E182" s="75" t="s">
        <v>560</v>
      </c>
      <c r="F182" s="74">
        <f t="shared" si="32"/>
        <v>46294</v>
      </c>
      <c r="G182" s="228"/>
      <c r="H182" s="19">
        <v>4.55</v>
      </c>
      <c r="I182" s="71" t="s">
        <v>19</v>
      </c>
      <c r="J182" s="27" t="s">
        <v>255</v>
      </c>
      <c r="K182" s="27" t="s">
        <v>750</v>
      </c>
      <c r="L182" s="27" t="s">
        <v>256</v>
      </c>
      <c r="M182" s="67">
        <v>0.49</v>
      </c>
      <c r="N182" s="67"/>
      <c r="O182" s="87" t="s">
        <v>932</v>
      </c>
      <c r="P182" s="137" t="s">
        <v>934</v>
      </c>
      <c r="Q182" s="46" t="s">
        <v>1016</v>
      </c>
      <c r="R182" t="b">
        <f t="shared" si="44"/>
        <v>0</v>
      </c>
      <c r="S182" t="b">
        <f t="shared" si="33"/>
        <v>1</v>
      </c>
      <c r="T182" t="b">
        <f t="shared" si="34"/>
        <v>1</v>
      </c>
      <c r="U182" s="46" t="s">
        <v>868</v>
      </c>
      <c r="V182" s="225" t="str">
        <f t="shared" si="35"/>
        <v>INDOIS 4.55 03/29/26 REGS</v>
      </c>
      <c r="W182" s="67">
        <f t="shared" si="42"/>
        <v>1.225E-2</v>
      </c>
      <c r="X182" s="151">
        <f t="shared" si="36"/>
        <v>2450</v>
      </c>
      <c r="Y182" s="152">
        <f ca="1">((Main!$C$4-D182)*(200000*(H182/100))/360)*0.025</f>
        <v>89.736111111111114</v>
      </c>
      <c r="Z182" s="152">
        <f t="shared" ca="1" si="37"/>
        <v>2539.7361111111113</v>
      </c>
      <c r="AA182" s="153">
        <f t="shared" ca="1" si="38"/>
        <v>9327.1808680555569</v>
      </c>
      <c r="AC182" s="67">
        <f t="shared" si="43"/>
        <v>1.2627300000000001E-2</v>
      </c>
      <c r="AD182" s="151">
        <f t="shared" si="39"/>
        <v>2525.46</v>
      </c>
      <c r="AE182">
        <f ca="1">((Main!$C$4-D182)*(200000*(H182/100))/360)*0.02577</f>
        <v>92.499983333333333</v>
      </c>
      <c r="AF182" s="152">
        <f t="shared" ca="1" si="40"/>
        <v>2617.9599833333332</v>
      </c>
      <c r="AG182" s="153">
        <f t="shared" ca="1" si="41"/>
        <v>9614.4580387916667</v>
      </c>
    </row>
    <row r="183" spans="1:33" ht="12.75" customHeight="1" x14ac:dyDescent="0.35">
      <c r="A183" s="38" t="s">
        <v>275</v>
      </c>
      <c r="B183" s="46" t="s">
        <v>869</v>
      </c>
      <c r="C183" s="22" t="s">
        <v>276</v>
      </c>
      <c r="D183" s="75">
        <f t="shared" si="31"/>
        <v>45997</v>
      </c>
      <c r="E183" s="75" t="s">
        <v>644</v>
      </c>
      <c r="F183" s="74">
        <f t="shared" si="32"/>
        <v>46362</v>
      </c>
      <c r="G183" s="228"/>
      <c r="H183" s="19">
        <v>4.7</v>
      </c>
      <c r="I183" s="71" t="s">
        <v>19</v>
      </c>
      <c r="J183" s="27" t="s">
        <v>255</v>
      </c>
      <c r="K183" s="27" t="s">
        <v>750</v>
      </c>
      <c r="L183" s="27" t="s">
        <v>256</v>
      </c>
      <c r="M183" s="67">
        <v>0.49</v>
      </c>
      <c r="N183" s="67"/>
      <c r="O183" s="87" t="s">
        <v>932</v>
      </c>
      <c r="P183" s="137" t="s">
        <v>934</v>
      </c>
      <c r="Q183" s="46" t="s">
        <v>1016</v>
      </c>
      <c r="R183" t="b">
        <f t="shared" si="44"/>
        <v>0</v>
      </c>
      <c r="S183" t="b">
        <f t="shared" si="33"/>
        <v>1</v>
      </c>
      <c r="T183" t="b">
        <f t="shared" si="34"/>
        <v>1</v>
      </c>
      <c r="U183" s="46" t="s">
        <v>869</v>
      </c>
      <c r="V183" s="225" t="str">
        <f t="shared" si="35"/>
        <v>INDOIS 4.7 SUKUK-06/06/32</v>
      </c>
      <c r="W183" s="67">
        <f t="shared" si="42"/>
        <v>1.225E-2</v>
      </c>
      <c r="X183" s="151">
        <f t="shared" si="36"/>
        <v>2450</v>
      </c>
      <c r="Y183" s="152">
        <f ca="1">((Main!$C$4-D183)*(200000*(H183/100))/360)*0.025</f>
        <v>48.305555555555557</v>
      </c>
      <c r="Z183" s="152">
        <f t="shared" ca="1" si="37"/>
        <v>2498.3055555555557</v>
      </c>
      <c r="AA183" s="153">
        <f t="shared" ca="1" si="38"/>
        <v>9175.0271527777786</v>
      </c>
      <c r="AC183" s="67">
        <f t="shared" si="43"/>
        <v>1.2627300000000001E-2</v>
      </c>
      <c r="AD183" s="151">
        <f t="shared" si="39"/>
        <v>2525.46</v>
      </c>
      <c r="AE183">
        <f ca="1">((Main!$C$4-D183)*(200000*(H183/100))/360)*0.02577</f>
        <v>49.793366666666671</v>
      </c>
      <c r="AF183" s="152">
        <f t="shared" ca="1" si="40"/>
        <v>2575.2533666666668</v>
      </c>
      <c r="AG183" s="153">
        <f t="shared" ca="1" si="41"/>
        <v>9457.6179890833337</v>
      </c>
    </row>
    <row r="184" spans="1:33" ht="12.75" customHeight="1" x14ac:dyDescent="0.35">
      <c r="A184" s="38" t="s">
        <v>277</v>
      </c>
      <c r="B184" s="46" t="s">
        <v>870</v>
      </c>
      <c r="C184" s="22" t="s">
        <v>278</v>
      </c>
      <c r="D184" s="75">
        <f t="shared" si="31"/>
        <v>45992</v>
      </c>
      <c r="E184" s="75" t="s">
        <v>642</v>
      </c>
      <c r="F184" s="74">
        <f t="shared" si="32"/>
        <v>46357</v>
      </c>
      <c r="G184" s="228"/>
      <c r="H184" s="19">
        <v>5</v>
      </c>
      <c r="I184" s="71" t="s">
        <v>19</v>
      </c>
      <c r="J184" s="27" t="s">
        <v>255</v>
      </c>
      <c r="K184" s="27" t="s">
        <v>750</v>
      </c>
      <c r="L184" s="27" t="s">
        <v>256</v>
      </c>
      <c r="M184" s="67">
        <v>0.49</v>
      </c>
      <c r="N184" s="67"/>
      <c r="O184" s="87" t="s">
        <v>932</v>
      </c>
      <c r="P184" s="137" t="s">
        <v>934</v>
      </c>
      <c r="Q184" s="46" t="s">
        <v>1016</v>
      </c>
      <c r="R184" t="b">
        <f t="shared" si="44"/>
        <v>0</v>
      </c>
      <c r="S184" t="b">
        <f t="shared" si="33"/>
        <v>1</v>
      </c>
      <c r="T184" t="b">
        <f t="shared" si="34"/>
        <v>1</v>
      </c>
      <c r="U184" s="46" t="s">
        <v>870</v>
      </c>
      <c r="V184" s="225" t="str">
        <f t="shared" si="35"/>
        <v>INDOIS 5  01/12/35</v>
      </c>
      <c r="W184" s="67">
        <f t="shared" si="42"/>
        <v>1.225E-2</v>
      </c>
      <c r="X184" s="151">
        <f t="shared" si="36"/>
        <v>2450</v>
      </c>
      <c r="Y184" s="152">
        <f ca="1">((Main!$C$4-D184)*(200000*(H184/100))/360)*0.025</f>
        <v>54.861111111111114</v>
      </c>
      <c r="Z184" s="152">
        <f t="shared" ca="1" si="37"/>
        <v>2504.8611111111113</v>
      </c>
      <c r="AA184" s="153">
        <f t="shared" ca="1" si="38"/>
        <v>9199.1024305555566</v>
      </c>
      <c r="AC184" s="67">
        <f t="shared" si="43"/>
        <v>1.2627300000000001E-2</v>
      </c>
      <c r="AD184" s="151">
        <f t="shared" si="39"/>
        <v>2525.46</v>
      </c>
      <c r="AE184">
        <f ca="1">((Main!$C$4-D184)*(200000*(H184/100))/360)*0.02577</f>
        <v>56.550833333333337</v>
      </c>
      <c r="AF184" s="152">
        <f t="shared" ca="1" si="40"/>
        <v>2582.0108333333333</v>
      </c>
      <c r="AG184" s="153">
        <f t="shared" ca="1" si="41"/>
        <v>9482.4347854166663</v>
      </c>
    </row>
    <row r="185" spans="1:33" ht="12.75" customHeight="1" x14ac:dyDescent="0.35">
      <c r="A185" s="38" t="s">
        <v>279</v>
      </c>
      <c r="B185" s="46" t="s">
        <v>871</v>
      </c>
      <c r="C185" s="22" t="s">
        <v>280</v>
      </c>
      <c r="D185" s="75">
        <f t="shared" si="31"/>
        <v>45986</v>
      </c>
      <c r="E185" s="75" t="s">
        <v>656</v>
      </c>
      <c r="F185" s="74">
        <f t="shared" si="32"/>
        <v>46351</v>
      </c>
      <c r="G185" s="228"/>
      <c r="H185" s="19">
        <v>5</v>
      </c>
      <c r="I185" s="71" t="s">
        <v>19</v>
      </c>
      <c r="J185" s="27" t="s">
        <v>255</v>
      </c>
      <c r="K185" s="27" t="s">
        <v>750</v>
      </c>
      <c r="L185" s="27" t="s">
        <v>256</v>
      </c>
      <c r="M185" s="67">
        <v>0.49</v>
      </c>
      <c r="N185" s="67"/>
      <c r="O185" s="87" t="s">
        <v>932</v>
      </c>
      <c r="P185" s="137" t="s">
        <v>934</v>
      </c>
      <c r="Q185" s="46" t="s">
        <v>1016</v>
      </c>
      <c r="R185" t="b">
        <f t="shared" si="44"/>
        <v>0</v>
      </c>
      <c r="S185" t="b">
        <f t="shared" si="33"/>
        <v>1</v>
      </c>
      <c r="T185" t="b">
        <f t="shared" si="34"/>
        <v>1</v>
      </c>
      <c r="U185" s="46" t="s">
        <v>871</v>
      </c>
      <c r="V185" s="225" t="str">
        <f t="shared" si="35"/>
        <v>INDOIS 5 25/05/2030</v>
      </c>
      <c r="W185" s="67">
        <f t="shared" si="42"/>
        <v>1.225E-2</v>
      </c>
      <c r="X185" s="151">
        <f t="shared" si="36"/>
        <v>2450</v>
      </c>
      <c r="Y185" s="152">
        <f ca="1">((Main!$C$4-D185)*(200000*(H185/100))/360)*0.025</f>
        <v>59.027777777777786</v>
      </c>
      <c r="Z185" s="152">
        <f t="shared" ca="1" si="37"/>
        <v>2509.0277777777778</v>
      </c>
      <c r="AA185" s="153">
        <f t="shared" ca="1" si="38"/>
        <v>9214.4045138888887</v>
      </c>
      <c r="AC185" s="67">
        <f t="shared" si="43"/>
        <v>1.2627300000000001E-2</v>
      </c>
      <c r="AD185" s="151">
        <f t="shared" si="39"/>
        <v>2525.46</v>
      </c>
      <c r="AE185">
        <f ca="1">((Main!$C$4-D185)*(200000*(H185/100))/360)*0.02577</f>
        <v>60.845833333333339</v>
      </c>
      <c r="AF185" s="152">
        <f t="shared" ca="1" si="40"/>
        <v>2586.3058333333333</v>
      </c>
      <c r="AG185" s="153">
        <f t="shared" ca="1" si="41"/>
        <v>9498.2081729166657</v>
      </c>
    </row>
    <row r="186" spans="1:33" ht="12.75" customHeight="1" x14ac:dyDescent="0.35">
      <c r="A186" s="38" t="s">
        <v>281</v>
      </c>
      <c r="B186" s="46" t="s">
        <v>872</v>
      </c>
      <c r="C186" s="22" t="s">
        <v>282</v>
      </c>
      <c r="D186" s="75">
        <f t="shared" si="31"/>
        <v>46024</v>
      </c>
      <c r="E186" s="75" t="s">
        <v>593</v>
      </c>
      <c r="F186" s="74">
        <f t="shared" si="32"/>
        <v>46389</v>
      </c>
      <c r="G186" s="228"/>
      <c r="H186" s="19">
        <v>5.0999999999999996</v>
      </c>
      <c r="I186" s="71" t="s">
        <v>19</v>
      </c>
      <c r="J186" s="27" t="s">
        <v>255</v>
      </c>
      <c r="K186" s="27" t="s">
        <v>750</v>
      </c>
      <c r="L186" s="27" t="s">
        <v>256</v>
      </c>
      <c r="M186" s="67">
        <v>0.49</v>
      </c>
      <c r="N186" s="67"/>
      <c r="O186" s="87" t="s">
        <v>932</v>
      </c>
      <c r="P186" s="137" t="s">
        <v>934</v>
      </c>
      <c r="Q186" s="46" t="s">
        <v>1016</v>
      </c>
      <c r="R186" t="b">
        <f t="shared" si="44"/>
        <v>0</v>
      </c>
      <c r="S186" t="b">
        <f t="shared" si="33"/>
        <v>1</v>
      </c>
      <c r="T186" t="b">
        <f t="shared" si="34"/>
        <v>1</v>
      </c>
      <c r="U186" s="46" t="s">
        <v>872</v>
      </c>
      <c r="V186" s="225" t="str">
        <f t="shared" si="35"/>
        <v>INDOIS 5.1 02/07/2029</v>
      </c>
      <c r="W186" s="67">
        <f t="shared" si="42"/>
        <v>1.225E-2</v>
      </c>
      <c r="X186" s="151">
        <f t="shared" si="36"/>
        <v>2450</v>
      </c>
      <c r="Y186" s="152">
        <f ca="1">((Main!$C$4-D186)*(200000*(H186/100))/360)*0.025</f>
        <v>33.291666666666671</v>
      </c>
      <c r="Z186" s="152">
        <f t="shared" ca="1" si="37"/>
        <v>2483.2916666666665</v>
      </c>
      <c r="AA186" s="153">
        <f t="shared" ca="1" si="38"/>
        <v>9119.8886458333327</v>
      </c>
      <c r="AC186" s="67">
        <f t="shared" si="43"/>
        <v>1.2627300000000001E-2</v>
      </c>
      <c r="AD186" s="151">
        <f t="shared" si="39"/>
        <v>2525.46</v>
      </c>
      <c r="AE186">
        <f ca="1">((Main!$C$4-D186)*(200000*(H186/100))/360)*0.02577</f>
        <v>34.317050000000002</v>
      </c>
      <c r="AF186" s="152">
        <f t="shared" ca="1" si="40"/>
        <v>2559.7770500000001</v>
      </c>
      <c r="AG186" s="153">
        <f t="shared" ca="1" si="41"/>
        <v>9400.7812161250004</v>
      </c>
    </row>
    <row r="187" spans="1:33" ht="12.75" customHeight="1" x14ac:dyDescent="0.35">
      <c r="A187" s="38" t="s">
        <v>283</v>
      </c>
      <c r="B187" s="46" t="s">
        <v>873</v>
      </c>
      <c r="C187" s="22" t="s">
        <v>284</v>
      </c>
      <c r="D187" s="75">
        <f t="shared" si="31"/>
        <v>46024</v>
      </c>
      <c r="E187" s="75" t="s">
        <v>593</v>
      </c>
      <c r="F187" s="74">
        <f t="shared" si="32"/>
        <v>46389</v>
      </c>
      <c r="G187" s="228"/>
      <c r="H187" s="19">
        <v>5.2</v>
      </c>
      <c r="I187" s="71" t="s">
        <v>19</v>
      </c>
      <c r="J187" s="27" t="s">
        <v>255</v>
      </c>
      <c r="K187" s="27" t="s">
        <v>750</v>
      </c>
      <c r="L187" s="27" t="s">
        <v>256</v>
      </c>
      <c r="M187" s="67">
        <v>0.49</v>
      </c>
      <c r="N187" s="67"/>
      <c r="O187" s="87" t="s">
        <v>932</v>
      </c>
      <c r="P187" s="137" t="s">
        <v>934</v>
      </c>
      <c r="Q187" s="46" t="s">
        <v>1016</v>
      </c>
      <c r="R187" t="b">
        <f t="shared" si="44"/>
        <v>0</v>
      </c>
      <c r="S187" t="b">
        <f t="shared" si="33"/>
        <v>1</v>
      </c>
      <c r="T187" t="b">
        <f t="shared" si="34"/>
        <v>1</v>
      </c>
      <c r="U187" s="46" t="s">
        <v>873</v>
      </c>
      <c r="V187" s="225" t="str">
        <f t="shared" si="35"/>
        <v>INDOIS 5.2 02/07/2034</v>
      </c>
      <c r="W187" s="67">
        <f t="shared" si="42"/>
        <v>1.225E-2</v>
      </c>
      <c r="X187" s="151">
        <f t="shared" si="36"/>
        <v>2450</v>
      </c>
      <c r="Y187" s="152">
        <f ca="1">((Main!$C$4-D187)*(200000*(H187/100))/360)*0.025</f>
        <v>33.94444444444445</v>
      </c>
      <c r="Z187" s="152">
        <f t="shared" ca="1" si="37"/>
        <v>2483.9444444444443</v>
      </c>
      <c r="AA187" s="153">
        <f t="shared" ca="1" si="38"/>
        <v>9122.285972222222</v>
      </c>
      <c r="AC187" s="67">
        <f t="shared" si="43"/>
        <v>1.2627300000000001E-2</v>
      </c>
      <c r="AD187" s="151">
        <f t="shared" si="39"/>
        <v>2525.46</v>
      </c>
      <c r="AE187">
        <f ca="1">((Main!$C$4-D187)*(200000*(H187/100))/360)*0.02577</f>
        <v>34.989933333333333</v>
      </c>
      <c r="AF187" s="152">
        <f t="shared" ca="1" si="40"/>
        <v>2560.4499333333333</v>
      </c>
      <c r="AG187" s="153">
        <f t="shared" ca="1" si="41"/>
        <v>9403.2523801666666</v>
      </c>
    </row>
    <row r="188" spans="1:33" ht="12.75" customHeight="1" x14ac:dyDescent="0.35">
      <c r="A188" s="38" t="s">
        <v>285</v>
      </c>
      <c r="B188" s="46" t="s">
        <v>874</v>
      </c>
      <c r="C188" s="22" t="s">
        <v>286</v>
      </c>
      <c r="D188" s="75">
        <f t="shared" si="31"/>
        <v>46045</v>
      </c>
      <c r="E188" s="75" t="s">
        <v>635</v>
      </c>
      <c r="F188" s="74">
        <f t="shared" si="32"/>
        <v>46410</v>
      </c>
      <c r="G188" s="228"/>
      <c r="H188" s="19">
        <v>5.2</v>
      </c>
      <c r="I188" s="71" t="s">
        <v>19</v>
      </c>
      <c r="J188" s="27" t="s">
        <v>255</v>
      </c>
      <c r="K188" s="27" t="s">
        <v>750</v>
      </c>
      <c r="L188" s="27" t="s">
        <v>256</v>
      </c>
      <c r="M188" s="67">
        <v>0.49</v>
      </c>
      <c r="N188" s="67"/>
      <c r="O188" s="87" t="s">
        <v>932</v>
      </c>
      <c r="P188" s="137" t="s">
        <v>934</v>
      </c>
      <c r="Q188" s="46" t="s">
        <v>1016</v>
      </c>
      <c r="R188" t="b">
        <f t="shared" si="44"/>
        <v>0</v>
      </c>
      <c r="S188" t="b">
        <f t="shared" si="33"/>
        <v>1</v>
      </c>
      <c r="T188" t="b">
        <f t="shared" si="34"/>
        <v>1</v>
      </c>
      <c r="U188" s="46" t="s">
        <v>874</v>
      </c>
      <c r="V188" s="225" t="str">
        <f t="shared" si="35"/>
        <v>INDOIS 5.2 07/23/35 REGS</v>
      </c>
      <c r="W188" s="67">
        <f t="shared" si="42"/>
        <v>1.225E-2</v>
      </c>
      <c r="X188" s="151">
        <f t="shared" si="36"/>
        <v>2450</v>
      </c>
      <c r="Y188" s="152">
        <f ca="1">((Main!$C$4-D188)*(200000*(H188/100))/360)*0.025</f>
        <v>18.777777777777782</v>
      </c>
      <c r="Z188" s="152">
        <f t="shared" ca="1" si="37"/>
        <v>2468.7777777777778</v>
      </c>
      <c r="AA188" s="153">
        <f t="shared" ca="1" si="38"/>
        <v>9066.5863888888889</v>
      </c>
      <c r="AC188" s="67">
        <f t="shared" si="43"/>
        <v>1.2627300000000001E-2</v>
      </c>
      <c r="AD188" s="151">
        <f t="shared" si="39"/>
        <v>2525.46</v>
      </c>
      <c r="AE188">
        <f ca="1">((Main!$C$4-D188)*(200000*(H188/100))/360)*0.02577</f>
        <v>19.356133333333339</v>
      </c>
      <c r="AF188" s="152">
        <f t="shared" ca="1" si="40"/>
        <v>2544.8161333333333</v>
      </c>
      <c r="AG188" s="153">
        <f t="shared" ca="1" si="41"/>
        <v>9345.8372496666652</v>
      </c>
    </row>
    <row r="189" spans="1:33" ht="12.75" customHeight="1" x14ac:dyDescent="0.35">
      <c r="A189" s="38" t="s">
        <v>287</v>
      </c>
      <c r="B189" s="46" t="s">
        <v>875</v>
      </c>
      <c r="C189" s="22" t="s">
        <v>288</v>
      </c>
      <c r="D189" s="75">
        <f t="shared" si="31"/>
        <v>45986</v>
      </c>
      <c r="E189" s="75" t="s">
        <v>656</v>
      </c>
      <c r="F189" s="74">
        <f t="shared" si="32"/>
        <v>46351</v>
      </c>
      <c r="G189" s="228"/>
      <c r="H189" s="19">
        <v>5.25</v>
      </c>
      <c r="I189" s="71" t="s">
        <v>19</v>
      </c>
      <c r="J189" s="27" t="s">
        <v>255</v>
      </c>
      <c r="K189" s="27" t="s">
        <v>750</v>
      </c>
      <c r="L189" s="27" t="s">
        <v>256</v>
      </c>
      <c r="M189" s="67">
        <v>0.49</v>
      </c>
      <c r="N189" s="67"/>
      <c r="O189" s="87" t="s">
        <v>932</v>
      </c>
      <c r="P189" s="137" t="s">
        <v>934</v>
      </c>
      <c r="Q189" s="46" t="s">
        <v>1016</v>
      </c>
      <c r="R189" t="b">
        <f t="shared" si="44"/>
        <v>0</v>
      </c>
      <c r="S189" t="b">
        <f t="shared" si="33"/>
        <v>1</v>
      </c>
      <c r="T189" t="b">
        <f t="shared" si="34"/>
        <v>1</v>
      </c>
      <c r="U189" s="46" t="s">
        <v>875</v>
      </c>
      <c r="V189" s="225" t="str">
        <f t="shared" si="35"/>
        <v>INDOIS 5.25 25/11/34</v>
      </c>
      <c r="W189" s="67">
        <f t="shared" si="42"/>
        <v>1.225E-2</v>
      </c>
      <c r="X189" s="151">
        <f t="shared" si="36"/>
        <v>2450</v>
      </c>
      <c r="Y189" s="152">
        <f ca="1">((Main!$C$4-D189)*(200000*(H189/100))/360)*0.025</f>
        <v>61.979166666666664</v>
      </c>
      <c r="Z189" s="152">
        <f t="shared" ca="1" si="37"/>
        <v>2511.9791666666665</v>
      </c>
      <c r="AA189" s="153">
        <f t="shared" ca="1" si="38"/>
        <v>9225.2434895833321</v>
      </c>
      <c r="AC189" s="67">
        <f t="shared" si="43"/>
        <v>1.2627300000000001E-2</v>
      </c>
      <c r="AD189" s="151">
        <f t="shared" si="39"/>
        <v>2525.46</v>
      </c>
      <c r="AE189">
        <f ca="1">((Main!$C$4-D189)*(200000*(H189/100))/360)*0.02577</f>
        <v>63.888125000000002</v>
      </c>
      <c r="AF189" s="152">
        <f t="shared" ca="1" si="40"/>
        <v>2589.348125</v>
      </c>
      <c r="AG189" s="153">
        <f t="shared" ca="1" si="41"/>
        <v>9509.3809890624998</v>
      </c>
    </row>
    <row r="190" spans="1:33" ht="12.75" customHeight="1" x14ac:dyDescent="0.35">
      <c r="A190" s="38" t="s">
        <v>289</v>
      </c>
      <c r="B190" s="46" t="s">
        <v>876</v>
      </c>
      <c r="C190" s="22" t="s">
        <v>290</v>
      </c>
      <c r="D190" s="75">
        <f t="shared" si="31"/>
        <v>45976</v>
      </c>
      <c r="E190" s="75" t="s">
        <v>555</v>
      </c>
      <c r="F190" s="74">
        <f t="shared" si="32"/>
        <v>46341</v>
      </c>
      <c r="G190" s="228"/>
      <c r="H190" s="19">
        <v>5.4</v>
      </c>
      <c r="I190" s="71" t="s">
        <v>19</v>
      </c>
      <c r="J190" s="27" t="s">
        <v>255</v>
      </c>
      <c r="K190" s="27" t="s">
        <v>750</v>
      </c>
      <c r="L190" s="27" t="s">
        <v>256</v>
      </c>
      <c r="M190" s="67">
        <v>0.49</v>
      </c>
      <c r="N190" s="67"/>
      <c r="O190" s="87" t="s">
        <v>932</v>
      </c>
      <c r="P190" s="137" t="s">
        <v>934</v>
      </c>
      <c r="Q190" s="46" t="s">
        <v>1016</v>
      </c>
      <c r="R190" t="b">
        <f t="shared" si="44"/>
        <v>0</v>
      </c>
      <c r="S190" t="b">
        <f t="shared" si="33"/>
        <v>1</v>
      </c>
      <c r="T190" t="b">
        <f t="shared" si="34"/>
        <v>1</v>
      </c>
      <c r="U190" s="46" t="s">
        <v>876</v>
      </c>
      <c r="V190" s="225" t="str">
        <f t="shared" si="35"/>
        <v>INDOIS 5.4 11/15/28 REGS</v>
      </c>
      <c r="W190" s="67">
        <f t="shared" si="42"/>
        <v>1.225E-2</v>
      </c>
      <c r="X190" s="151">
        <f t="shared" si="36"/>
        <v>2450</v>
      </c>
      <c r="Y190" s="152">
        <f ca="1">((Main!$C$4-D190)*(200000*(H190/100))/360)*0.025</f>
        <v>71.250000000000014</v>
      </c>
      <c r="Z190" s="152">
        <f t="shared" ca="1" si="37"/>
        <v>2521.25</v>
      </c>
      <c r="AA190" s="153">
        <f t="shared" ca="1" si="38"/>
        <v>9259.2906249999996</v>
      </c>
      <c r="AC190" s="67">
        <f t="shared" si="43"/>
        <v>1.2627300000000001E-2</v>
      </c>
      <c r="AD190" s="151">
        <f t="shared" si="39"/>
        <v>2525.46</v>
      </c>
      <c r="AE190">
        <f ca="1">((Main!$C$4-D190)*(200000*(H190/100))/360)*0.02577</f>
        <v>73.444500000000019</v>
      </c>
      <c r="AF190" s="152">
        <f t="shared" ca="1" si="40"/>
        <v>2598.9045000000001</v>
      </c>
      <c r="AG190" s="153">
        <f t="shared" ca="1" si="41"/>
        <v>9544.4767762499996</v>
      </c>
    </row>
    <row r="191" spans="1:33" ht="12.75" customHeight="1" x14ac:dyDescent="0.35">
      <c r="A191" s="38" t="s">
        <v>291</v>
      </c>
      <c r="B191" s="46" t="s">
        <v>877</v>
      </c>
      <c r="C191" s="22" t="s">
        <v>292</v>
      </c>
      <c r="D191" s="75">
        <f t="shared" si="31"/>
        <v>46024</v>
      </c>
      <c r="E191" s="75" t="s">
        <v>593</v>
      </c>
      <c r="F191" s="74">
        <f t="shared" si="32"/>
        <v>46389</v>
      </c>
      <c r="G191" s="228"/>
      <c r="H191" s="19">
        <v>5.5</v>
      </c>
      <c r="I191" s="71" t="s">
        <v>19</v>
      </c>
      <c r="J191" s="27" t="s">
        <v>255</v>
      </c>
      <c r="K191" s="27" t="s">
        <v>750</v>
      </c>
      <c r="L191" s="27" t="s">
        <v>256</v>
      </c>
      <c r="M191" s="67">
        <v>0.49</v>
      </c>
      <c r="N191" s="67"/>
      <c r="O191" s="87" t="s">
        <v>932</v>
      </c>
      <c r="P191" s="137" t="s">
        <v>934</v>
      </c>
      <c r="Q191" s="46" t="s">
        <v>1016</v>
      </c>
      <c r="R191" t="b">
        <f t="shared" si="44"/>
        <v>0</v>
      </c>
      <c r="S191" t="b">
        <f t="shared" si="33"/>
        <v>1</v>
      </c>
      <c r="T191" t="b">
        <f t="shared" si="34"/>
        <v>1</v>
      </c>
      <c r="U191" s="46" t="s">
        <v>877</v>
      </c>
      <c r="V191" s="225" t="str">
        <f t="shared" si="35"/>
        <v>INDOIS 5.5 02/07/2054</v>
      </c>
      <c r="W191" s="67">
        <f t="shared" si="42"/>
        <v>1.225E-2</v>
      </c>
      <c r="X191" s="151">
        <f t="shared" si="36"/>
        <v>2450</v>
      </c>
      <c r="Y191" s="152">
        <f ca="1">((Main!$C$4-D191)*(200000*(H191/100))/360)*0.025</f>
        <v>35.902777777777779</v>
      </c>
      <c r="Z191" s="152">
        <f t="shared" ca="1" si="37"/>
        <v>2485.9027777777778</v>
      </c>
      <c r="AA191" s="153">
        <f t="shared" ca="1" si="38"/>
        <v>9129.477951388888</v>
      </c>
      <c r="AC191" s="67">
        <f t="shared" si="43"/>
        <v>1.2627300000000001E-2</v>
      </c>
      <c r="AD191" s="151">
        <f t="shared" si="39"/>
        <v>2525.46</v>
      </c>
      <c r="AE191">
        <f ca="1">((Main!$C$4-D191)*(200000*(H191/100))/360)*0.02577</f>
        <v>37.008583333333334</v>
      </c>
      <c r="AF191" s="152">
        <f t="shared" ca="1" si="40"/>
        <v>2562.4685833333333</v>
      </c>
      <c r="AG191" s="153">
        <f t="shared" ca="1" si="41"/>
        <v>9410.6658722916654</v>
      </c>
    </row>
    <row r="192" spans="1:33" ht="12.75" customHeight="1" x14ac:dyDescent="0.35">
      <c r="A192" s="38" t="s">
        <v>257</v>
      </c>
      <c r="B192" s="46" t="s">
        <v>860</v>
      </c>
      <c r="C192" s="22" t="s">
        <v>258</v>
      </c>
      <c r="D192" s="75">
        <f t="shared" si="31"/>
        <v>46000</v>
      </c>
      <c r="E192" s="75" t="s">
        <v>662</v>
      </c>
      <c r="F192" s="74">
        <f t="shared" si="32"/>
        <v>46365</v>
      </c>
      <c r="G192" s="228"/>
      <c r="H192" s="19">
        <v>1.5</v>
      </c>
      <c r="I192" s="71" t="s">
        <v>19</v>
      </c>
      <c r="J192" s="27" t="s">
        <v>255</v>
      </c>
      <c r="K192" s="27" t="s">
        <v>750</v>
      </c>
      <c r="L192" s="27" t="s">
        <v>256</v>
      </c>
      <c r="M192" s="67">
        <v>0.49</v>
      </c>
      <c r="N192" s="67"/>
      <c r="O192" s="87" t="s">
        <v>932</v>
      </c>
      <c r="P192" s="137" t="s">
        <v>934</v>
      </c>
      <c r="Q192" s="46" t="s">
        <v>1016</v>
      </c>
      <c r="R192" t="b">
        <f t="shared" si="44"/>
        <v>0</v>
      </c>
      <c r="S192" t="b">
        <f t="shared" si="33"/>
        <v>1</v>
      </c>
      <c r="T192" t="b">
        <f t="shared" si="34"/>
        <v>1</v>
      </c>
      <c r="U192" s="46" t="s">
        <v>860</v>
      </c>
      <c r="V192" s="225" t="str">
        <f t="shared" si="35"/>
        <v>INDOIS 1 ½ 06/09/26 REGS</v>
      </c>
      <c r="W192" s="67">
        <f t="shared" si="42"/>
        <v>1.225E-2</v>
      </c>
      <c r="X192" s="151">
        <f t="shared" si="36"/>
        <v>2450</v>
      </c>
      <c r="Y192" s="152">
        <f ca="1">((Main!$C$4-D192)*(200000*(H192/100))/360)*0.025</f>
        <v>14.791666666666666</v>
      </c>
      <c r="Z192" s="152">
        <f t="shared" ca="1" si="37"/>
        <v>2464.7916666666665</v>
      </c>
      <c r="AA192" s="153">
        <f t="shared" ca="1" si="38"/>
        <v>9051.9473958333328</v>
      </c>
      <c r="AC192" s="67">
        <f t="shared" si="43"/>
        <v>1.2627300000000001E-2</v>
      </c>
      <c r="AD192" s="151">
        <f t="shared" si="39"/>
        <v>2525.46</v>
      </c>
      <c r="AE192">
        <f ca="1">((Main!$C$4-D192)*(200000*(H192/100))/360)*0.02577</f>
        <v>15.247249999999999</v>
      </c>
      <c r="AF192" s="152">
        <f t="shared" ca="1" si="40"/>
        <v>2540.7072499999999</v>
      </c>
      <c r="AG192" s="153">
        <f t="shared" ca="1" si="41"/>
        <v>9330.7473756250001</v>
      </c>
    </row>
    <row r="193" spans="1:33" ht="12.75" customHeight="1" x14ac:dyDescent="0.35">
      <c r="A193" s="38" t="s">
        <v>293</v>
      </c>
      <c r="B193" s="46" t="s">
        <v>878</v>
      </c>
      <c r="C193" s="22" t="s">
        <v>294</v>
      </c>
      <c r="D193" s="75">
        <f t="shared" si="31"/>
        <v>45976</v>
      </c>
      <c r="E193" s="75" t="s">
        <v>555</v>
      </c>
      <c r="F193" s="74">
        <f t="shared" si="32"/>
        <v>46341</v>
      </c>
      <c r="G193" s="228"/>
      <c r="H193" s="19">
        <v>5.6</v>
      </c>
      <c r="I193" s="71" t="s">
        <v>19</v>
      </c>
      <c r="J193" s="27" t="s">
        <v>255</v>
      </c>
      <c r="K193" s="27" t="s">
        <v>750</v>
      </c>
      <c r="L193" s="27" t="s">
        <v>256</v>
      </c>
      <c r="M193" s="67">
        <v>0.49</v>
      </c>
      <c r="N193" s="67"/>
      <c r="O193" s="87" t="s">
        <v>932</v>
      </c>
      <c r="P193" s="137" t="s">
        <v>934</v>
      </c>
      <c r="Q193" s="46" t="s">
        <v>1016</v>
      </c>
      <c r="R193" t="b">
        <f t="shared" si="44"/>
        <v>0</v>
      </c>
      <c r="S193" t="b">
        <f t="shared" si="33"/>
        <v>1</v>
      </c>
      <c r="T193" t="b">
        <f t="shared" si="34"/>
        <v>1</v>
      </c>
      <c r="U193" s="46" t="s">
        <v>878</v>
      </c>
      <c r="V193" s="225" t="str">
        <f t="shared" si="35"/>
        <v>INDOIS 5.6 15/11/2033</v>
      </c>
      <c r="W193" s="67">
        <f t="shared" si="42"/>
        <v>1.225E-2</v>
      </c>
      <c r="X193" s="151">
        <f t="shared" si="36"/>
        <v>2450</v>
      </c>
      <c r="Y193" s="152">
        <f ca="1">((Main!$C$4-D193)*(200000*(H193/100))/360)*0.025</f>
        <v>73.888888888888872</v>
      </c>
      <c r="Z193" s="152">
        <f t="shared" ca="1" si="37"/>
        <v>2523.8888888888887</v>
      </c>
      <c r="AA193" s="153">
        <f t="shared" ca="1" si="38"/>
        <v>9268.9819444444438</v>
      </c>
      <c r="AC193" s="67">
        <f t="shared" si="43"/>
        <v>1.2627300000000001E-2</v>
      </c>
      <c r="AD193" s="151">
        <f t="shared" si="39"/>
        <v>2525.46</v>
      </c>
      <c r="AE193">
        <f ca="1">((Main!$C$4-D193)*(200000*(H193/100))/360)*0.02577</f>
        <v>76.164666666666648</v>
      </c>
      <c r="AF193" s="152">
        <f t="shared" ca="1" si="40"/>
        <v>2601.6246666666666</v>
      </c>
      <c r="AG193" s="153">
        <f t="shared" ca="1" si="41"/>
        <v>9554.4665883333328</v>
      </c>
    </row>
    <row r="194" spans="1:33" ht="12.75" customHeight="1" x14ac:dyDescent="0.35">
      <c r="A194" s="38" t="s">
        <v>295</v>
      </c>
      <c r="B194" s="46" t="s">
        <v>879</v>
      </c>
      <c r="C194" s="22" t="s">
        <v>296</v>
      </c>
      <c r="D194" s="75">
        <f t="shared" si="31"/>
        <v>45986</v>
      </c>
      <c r="E194" s="75" t="s">
        <v>656</v>
      </c>
      <c r="F194" s="74">
        <f t="shared" si="32"/>
        <v>46351</v>
      </c>
      <c r="G194" s="228"/>
      <c r="H194" s="19">
        <v>5.65</v>
      </c>
      <c r="I194" s="71" t="s">
        <v>19</v>
      </c>
      <c r="J194" s="27" t="s">
        <v>255</v>
      </c>
      <c r="K194" s="27" t="s">
        <v>750</v>
      </c>
      <c r="L194" s="27" t="s">
        <v>256</v>
      </c>
      <c r="M194" s="67">
        <v>0.49</v>
      </c>
      <c r="N194" s="67"/>
      <c r="O194" s="87" t="s">
        <v>932</v>
      </c>
      <c r="P194" s="137" t="s">
        <v>934</v>
      </c>
      <c r="Q194" s="46" t="s">
        <v>1016</v>
      </c>
      <c r="R194" t="b">
        <f t="shared" si="44"/>
        <v>0</v>
      </c>
      <c r="S194" t="b">
        <f t="shared" si="33"/>
        <v>1</v>
      </c>
      <c r="T194" t="b">
        <f t="shared" si="34"/>
        <v>1</v>
      </c>
      <c r="U194" s="46" t="s">
        <v>879</v>
      </c>
      <c r="V194" s="225" t="str">
        <f t="shared" si="35"/>
        <v>INDOIS 5.65 25/11/2054</v>
      </c>
      <c r="W194" s="67">
        <f t="shared" si="42"/>
        <v>1.225E-2</v>
      </c>
      <c r="X194" s="151">
        <f t="shared" si="36"/>
        <v>2450</v>
      </c>
      <c r="Y194" s="152">
        <f ca="1">((Main!$C$4-D194)*(200000*(H194/100))/360)*0.025</f>
        <v>66.7013888888889</v>
      </c>
      <c r="Z194" s="152">
        <f t="shared" ca="1" si="37"/>
        <v>2516.7013888888887</v>
      </c>
      <c r="AA194" s="153">
        <f t="shared" ca="1" si="38"/>
        <v>9242.5858506944442</v>
      </c>
      <c r="AC194" s="67">
        <f t="shared" si="43"/>
        <v>1.2627300000000001E-2</v>
      </c>
      <c r="AD194" s="151">
        <f t="shared" si="39"/>
        <v>2525.46</v>
      </c>
      <c r="AE194">
        <f ca="1">((Main!$C$4-D194)*(200000*(H194/100))/360)*0.02577</f>
        <v>68.755791666666667</v>
      </c>
      <c r="AF194" s="152">
        <f t="shared" ca="1" si="40"/>
        <v>2594.2157916666665</v>
      </c>
      <c r="AG194" s="153">
        <f t="shared" ca="1" si="41"/>
        <v>9527.2574948958318</v>
      </c>
    </row>
    <row r="195" spans="1:33" ht="12.75" customHeight="1" x14ac:dyDescent="0.35">
      <c r="A195" s="38" t="s">
        <v>297</v>
      </c>
      <c r="B195" s="46" t="s">
        <v>880</v>
      </c>
      <c r="C195" s="22" t="s">
        <v>298</v>
      </c>
      <c r="D195" s="75">
        <f t="shared" ref="D195:D224" si="45">EDATE(E195,-6)</f>
        <v>45929</v>
      </c>
      <c r="E195" s="75" t="s">
        <v>560</v>
      </c>
      <c r="F195" s="74">
        <f t="shared" ref="F195:F224" si="46">EDATE(E195,6)</f>
        <v>46294</v>
      </c>
      <c r="G195" s="228"/>
      <c r="H195" s="19">
        <v>4.1500000000000004</v>
      </c>
      <c r="I195" s="71" t="s">
        <v>19</v>
      </c>
      <c r="J195" s="27" t="s">
        <v>255</v>
      </c>
      <c r="K195" s="27" t="s">
        <v>750</v>
      </c>
      <c r="L195" s="27" t="s">
        <v>256</v>
      </c>
      <c r="M195" s="67">
        <v>0.49</v>
      </c>
      <c r="N195" s="67"/>
      <c r="O195" s="87" t="s">
        <v>932</v>
      </c>
      <c r="P195" s="137" t="s">
        <v>934</v>
      </c>
      <c r="Q195" s="46" t="s">
        <v>1016</v>
      </c>
      <c r="R195" t="b">
        <f t="shared" si="44"/>
        <v>0</v>
      </c>
      <c r="S195" t="b">
        <f t="shared" si="33"/>
        <v>1</v>
      </c>
      <c r="T195" t="b">
        <f t="shared" si="34"/>
        <v>1</v>
      </c>
      <c r="U195" s="46" t="s">
        <v>880</v>
      </c>
      <c r="V195" s="225" t="str">
        <f t="shared" si="35"/>
        <v>INDOIS-4.15 03/27</v>
      </c>
      <c r="W195" s="67">
        <f t="shared" si="42"/>
        <v>1.225E-2</v>
      </c>
      <c r="X195" s="151">
        <f t="shared" si="36"/>
        <v>2450</v>
      </c>
      <c r="Y195" s="152">
        <f ca="1">((Main!$C$4-D195)*(200000*(H195/100))/360)*0.025</f>
        <v>81.847222222222229</v>
      </c>
      <c r="Z195" s="152">
        <f t="shared" ca="1" si="37"/>
        <v>2531.8472222222222</v>
      </c>
      <c r="AA195" s="153">
        <f t="shared" ca="1" si="38"/>
        <v>9298.2089236111115</v>
      </c>
      <c r="AC195" s="67">
        <f t="shared" si="43"/>
        <v>1.2627300000000001E-2</v>
      </c>
      <c r="AD195" s="151">
        <f t="shared" si="39"/>
        <v>2525.46</v>
      </c>
      <c r="AE195">
        <f ca="1">((Main!$C$4-D195)*(200000*(H195/100))/360)*0.02577</f>
        <v>84.368116666666666</v>
      </c>
      <c r="AF195" s="152">
        <f t="shared" ca="1" si="40"/>
        <v>2609.8281166666666</v>
      </c>
      <c r="AG195" s="153">
        <f t="shared" ca="1" si="41"/>
        <v>9584.5937584583335</v>
      </c>
    </row>
    <row r="196" spans="1:33" ht="12.75" customHeight="1" x14ac:dyDescent="0.35">
      <c r="A196" s="38" t="s">
        <v>259</v>
      </c>
      <c r="B196" s="46" t="s">
        <v>861</v>
      </c>
      <c r="C196" s="22" t="s">
        <v>260</v>
      </c>
      <c r="D196" s="75">
        <f t="shared" si="45"/>
        <v>46000</v>
      </c>
      <c r="E196" s="75" t="s">
        <v>662</v>
      </c>
      <c r="F196" s="74">
        <f t="shared" si="46"/>
        <v>46365</v>
      </c>
      <c r="G196" s="228"/>
      <c r="H196" s="19">
        <v>2.5499999999999998</v>
      </c>
      <c r="I196" s="71" t="s">
        <v>19</v>
      </c>
      <c r="J196" s="27" t="s">
        <v>255</v>
      </c>
      <c r="K196" s="27" t="s">
        <v>750</v>
      </c>
      <c r="L196" s="27" t="s">
        <v>256</v>
      </c>
      <c r="M196" s="67">
        <v>0.49</v>
      </c>
      <c r="N196" s="67"/>
      <c r="O196" s="87" t="s">
        <v>932</v>
      </c>
      <c r="P196" s="137" t="s">
        <v>934</v>
      </c>
      <c r="Q196" s="46" t="s">
        <v>1016</v>
      </c>
      <c r="R196" t="b">
        <f t="shared" si="44"/>
        <v>0</v>
      </c>
      <c r="S196" t="b">
        <f t="shared" ref="S196:S224" si="47">V196=A196</f>
        <v>1</v>
      </c>
      <c r="T196" t="b">
        <f t="shared" ref="T196:T224" si="48">U196=B196</f>
        <v>1</v>
      </c>
      <c r="U196" s="46" t="s">
        <v>861</v>
      </c>
      <c r="V196" s="225" t="str">
        <f t="shared" ref="V196:V224" si="49">A196</f>
        <v>INDOIS 2.55 06/09/31 REGS</v>
      </c>
      <c r="W196" s="67">
        <f t="shared" si="42"/>
        <v>1.225E-2</v>
      </c>
      <c r="X196" s="151">
        <f t="shared" ref="X196:X224" si="50">200000*W196</f>
        <v>2450</v>
      </c>
      <c r="Y196" s="152">
        <f ca="1">((Main!$C$4-D196)*(200000*(H196/100))/360)*0.025</f>
        <v>25.145833333333336</v>
      </c>
      <c r="Z196" s="152">
        <f t="shared" ref="Z196:Z224" ca="1" si="51">Y196+X196</f>
        <v>2475.1458333333335</v>
      </c>
      <c r="AA196" s="153">
        <f t="shared" ref="AA196:AA224" ca="1" si="52">Z196*3.6725</f>
        <v>9089.9730729166677</v>
      </c>
      <c r="AC196" s="67">
        <f t="shared" si="43"/>
        <v>1.2627300000000001E-2</v>
      </c>
      <c r="AD196" s="151">
        <f t="shared" ref="AD196:AD224" si="53">200000*AC196</f>
        <v>2525.46</v>
      </c>
      <c r="AE196">
        <f ca="1">((Main!$C$4-D196)*(200000*(H196/100))/360)*0.02577</f>
        <v>25.920325000000002</v>
      </c>
      <c r="AF196" s="152">
        <f t="shared" ref="AF196:AF224" ca="1" si="54">AE196+AD196</f>
        <v>2551.3803250000001</v>
      </c>
      <c r="AG196" s="153">
        <f t="shared" ref="AG196:AG224" ca="1" si="55">AF196*3.6725</f>
        <v>9369.9442435625006</v>
      </c>
    </row>
    <row r="197" spans="1:33" ht="12.75" customHeight="1" x14ac:dyDescent="0.35">
      <c r="A197" s="38" t="s">
        <v>261</v>
      </c>
      <c r="B197" s="46" t="s">
        <v>862</v>
      </c>
      <c r="C197" s="22" t="s">
        <v>262</v>
      </c>
      <c r="D197" s="75">
        <f t="shared" si="45"/>
        <v>46014</v>
      </c>
      <c r="E197" s="75" t="s">
        <v>663</v>
      </c>
      <c r="F197" s="74">
        <f t="shared" si="46"/>
        <v>46379</v>
      </c>
      <c r="G197" s="228"/>
      <c r="H197" s="19">
        <v>2.8</v>
      </c>
      <c r="I197" s="71" t="s">
        <v>19</v>
      </c>
      <c r="J197" s="27" t="s">
        <v>255</v>
      </c>
      <c r="K197" s="27" t="s">
        <v>750</v>
      </c>
      <c r="L197" s="27" t="s">
        <v>256</v>
      </c>
      <c r="M197" s="67">
        <v>0.49</v>
      </c>
      <c r="N197" s="67"/>
      <c r="O197" s="87" t="s">
        <v>932</v>
      </c>
      <c r="P197" s="137" t="s">
        <v>934</v>
      </c>
      <c r="Q197" s="46" t="s">
        <v>1016</v>
      </c>
      <c r="R197" t="b">
        <f t="shared" si="44"/>
        <v>0</v>
      </c>
      <c r="S197" t="b">
        <f t="shared" si="47"/>
        <v>1</v>
      </c>
      <c r="T197" t="b">
        <f t="shared" si="48"/>
        <v>1</v>
      </c>
      <c r="U197" s="46" t="s">
        <v>862</v>
      </c>
      <c r="V197" s="225" t="str">
        <f t="shared" si="49"/>
        <v>INDOIS 2.8 SUK-23/06/30</v>
      </c>
      <c r="W197" s="67">
        <f t="shared" ref="W197:W224" si="56">M197*0.025</f>
        <v>1.225E-2</v>
      </c>
      <c r="X197" s="151">
        <f t="shared" si="50"/>
        <v>2450</v>
      </c>
      <c r="Y197" s="152">
        <f ca="1">((Main!$C$4-D197)*(200000*(H197/100))/360)*0.025</f>
        <v>22.166666666666664</v>
      </c>
      <c r="Z197" s="152">
        <f t="shared" ca="1" si="51"/>
        <v>2472.1666666666665</v>
      </c>
      <c r="AA197" s="153">
        <f t="shared" ca="1" si="52"/>
        <v>9079.0320833333317</v>
      </c>
      <c r="AC197" s="67">
        <f t="shared" ref="AC197:AC224" si="57">M197*0.02577</f>
        <v>1.2627300000000001E-2</v>
      </c>
      <c r="AD197" s="151">
        <f t="shared" si="53"/>
        <v>2525.46</v>
      </c>
      <c r="AE197">
        <f ca="1">((Main!$C$4-D197)*(200000*(H197/100))/360)*0.02577</f>
        <v>22.849399999999996</v>
      </c>
      <c r="AF197" s="152">
        <f t="shared" ca="1" si="54"/>
        <v>2548.3094000000001</v>
      </c>
      <c r="AG197" s="153">
        <f t="shared" ca="1" si="55"/>
        <v>9358.6662715000002</v>
      </c>
    </row>
    <row r="198" spans="1:33" ht="12.75" customHeight="1" x14ac:dyDescent="0.35">
      <c r="A198" s="38" t="s">
        <v>263</v>
      </c>
      <c r="B198" s="46" t="s">
        <v>863</v>
      </c>
      <c r="C198" s="22" t="s">
        <v>264</v>
      </c>
      <c r="D198" s="75">
        <f t="shared" si="45"/>
        <v>46014</v>
      </c>
      <c r="E198" s="75" t="s">
        <v>663</v>
      </c>
      <c r="F198" s="74">
        <f t="shared" si="46"/>
        <v>46379</v>
      </c>
      <c r="G198" s="228"/>
      <c r="H198" s="19">
        <v>3.8</v>
      </c>
      <c r="I198" s="71" t="s">
        <v>19</v>
      </c>
      <c r="J198" s="27" t="s">
        <v>255</v>
      </c>
      <c r="K198" s="27" t="s">
        <v>750</v>
      </c>
      <c r="L198" s="27" t="s">
        <v>256</v>
      </c>
      <c r="M198" s="67">
        <v>0.49</v>
      </c>
      <c r="N198" s="67"/>
      <c r="O198" s="87" t="s">
        <v>932</v>
      </c>
      <c r="P198" s="137" t="s">
        <v>934</v>
      </c>
      <c r="Q198" s="46" t="s">
        <v>1016</v>
      </c>
      <c r="R198" t="b">
        <f t="shared" si="44"/>
        <v>0</v>
      </c>
      <c r="S198" t="b">
        <f t="shared" si="47"/>
        <v>1</v>
      </c>
      <c r="T198" t="b">
        <f t="shared" si="48"/>
        <v>1</v>
      </c>
      <c r="U198" s="46" t="s">
        <v>863</v>
      </c>
      <c r="V198" s="225" t="str">
        <f t="shared" si="49"/>
        <v>INDOIS 3.8 SUK-23/06/50</v>
      </c>
      <c r="W198" s="67">
        <f t="shared" si="56"/>
        <v>1.225E-2</v>
      </c>
      <c r="X198" s="151">
        <f t="shared" si="50"/>
        <v>2450</v>
      </c>
      <c r="Y198" s="152">
        <f ca="1">((Main!$C$4-D198)*(200000*(H198/100))/360)*0.025</f>
        <v>30.083333333333332</v>
      </c>
      <c r="Z198" s="152">
        <f t="shared" ca="1" si="51"/>
        <v>2480.0833333333335</v>
      </c>
      <c r="AA198" s="153">
        <f t="shared" ca="1" si="52"/>
        <v>9108.1060416666678</v>
      </c>
      <c r="AC198" s="67">
        <f t="shared" si="57"/>
        <v>1.2627300000000001E-2</v>
      </c>
      <c r="AD198" s="151">
        <f t="shared" si="53"/>
        <v>2525.46</v>
      </c>
      <c r="AE198">
        <f ca="1">((Main!$C$4-D198)*(200000*(H198/100))/360)*0.02577</f>
        <v>31.009899999999998</v>
      </c>
      <c r="AF198" s="152">
        <f t="shared" ca="1" si="54"/>
        <v>2556.4699000000001</v>
      </c>
      <c r="AG198" s="153">
        <f t="shared" ca="1" si="55"/>
        <v>9388.6357077499997</v>
      </c>
    </row>
    <row r="199" spans="1:33" ht="12.75" customHeight="1" x14ac:dyDescent="0.35">
      <c r="A199" s="38" t="s">
        <v>265</v>
      </c>
      <c r="B199" s="46" t="s">
        <v>864</v>
      </c>
      <c r="C199" s="22" t="s">
        <v>266</v>
      </c>
      <c r="D199" s="75">
        <f t="shared" si="45"/>
        <v>45992</v>
      </c>
      <c r="E199" s="75" t="s">
        <v>642</v>
      </c>
      <c r="F199" s="74">
        <f t="shared" si="46"/>
        <v>46357</v>
      </c>
      <c r="G199" s="228"/>
      <c r="H199" s="19">
        <v>4.5</v>
      </c>
      <c r="I199" s="71" t="s">
        <v>19</v>
      </c>
      <c r="J199" s="27" t="s">
        <v>255</v>
      </c>
      <c r="K199" s="27" t="s">
        <v>750</v>
      </c>
      <c r="L199" s="27" t="s">
        <v>256</v>
      </c>
      <c r="M199" s="67">
        <v>0.49</v>
      </c>
      <c r="N199" s="67"/>
      <c r="O199" s="87" t="s">
        <v>932</v>
      </c>
      <c r="P199" s="137" t="s">
        <v>934</v>
      </c>
      <c r="Q199" s="46" t="s">
        <v>1016</v>
      </c>
      <c r="R199" t="b">
        <f t="shared" si="44"/>
        <v>0</v>
      </c>
      <c r="S199" t="b">
        <f t="shared" si="47"/>
        <v>1</v>
      </c>
      <c r="T199" t="b">
        <f t="shared" si="48"/>
        <v>1</v>
      </c>
      <c r="U199" s="46" t="s">
        <v>864</v>
      </c>
      <c r="V199" s="225" t="str">
        <f t="shared" si="49"/>
        <v>INDOIS 4 ½ 12/01/30 REGS</v>
      </c>
      <c r="W199" s="67">
        <f t="shared" si="56"/>
        <v>1.225E-2</v>
      </c>
      <c r="X199" s="151">
        <f t="shared" si="50"/>
        <v>2450</v>
      </c>
      <c r="Y199" s="152">
        <f ca="1">((Main!$C$4-D199)*(200000*(H199/100))/360)*0.025</f>
        <v>49.375</v>
      </c>
      <c r="Z199" s="152">
        <f t="shared" ca="1" si="51"/>
        <v>2499.375</v>
      </c>
      <c r="AA199" s="153">
        <f t="shared" ca="1" si="52"/>
        <v>9178.9546874999996</v>
      </c>
      <c r="AC199" s="67">
        <f t="shared" si="57"/>
        <v>1.2627300000000001E-2</v>
      </c>
      <c r="AD199" s="151">
        <f t="shared" si="53"/>
        <v>2525.46</v>
      </c>
      <c r="AE199">
        <f ca="1">((Main!$C$4-D199)*(200000*(H199/100))/360)*0.02577</f>
        <v>50.89575</v>
      </c>
      <c r="AF199" s="152">
        <f t="shared" ca="1" si="54"/>
        <v>2576.3557500000002</v>
      </c>
      <c r="AG199" s="153">
        <f t="shared" ca="1" si="55"/>
        <v>9461.6664918750012</v>
      </c>
    </row>
    <row r="200" spans="1:33" ht="12.75" customHeight="1" x14ac:dyDescent="0.35">
      <c r="A200" s="38" t="s">
        <v>267</v>
      </c>
      <c r="B200" s="46" t="s">
        <v>865</v>
      </c>
      <c r="C200" s="22" t="s">
        <v>268</v>
      </c>
      <c r="D200" s="75">
        <f t="shared" si="45"/>
        <v>45901</v>
      </c>
      <c r="E200" s="75" t="s">
        <v>664</v>
      </c>
      <c r="F200" s="74">
        <f t="shared" si="46"/>
        <v>46266</v>
      </c>
      <c r="G200" s="228"/>
      <c r="H200" s="19">
        <v>4.4000000000000004</v>
      </c>
      <c r="I200" s="71" t="s">
        <v>19</v>
      </c>
      <c r="J200" s="27" t="s">
        <v>255</v>
      </c>
      <c r="K200" s="27" t="s">
        <v>750</v>
      </c>
      <c r="L200" s="27" t="s">
        <v>256</v>
      </c>
      <c r="M200" s="67">
        <v>0.49</v>
      </c>
      <c r="N200" s="67"/>
      <c r="O200" s="87" t="s">
        <v>932</v>
      </c>
      <c r="P200" s="137" t="s">
        <v>934</v>
      </c>
      <c r="Q200" s="46" t="s">
        <v>1016</v>
      </c>
      <c r="R200" t="b">
        <f t="shared" si="44"/>
        <v>0</v>
      </c>
      <c r="S200" t="b">
        <f t="shared" si="47"/>
        <v>1</v>
      </c>
      <c r="T200" t="b">
        <f t="shared" si="48"/>
        <v>1</v>
      </c>
      <c r="U200" s="46" t="s">
        <v>865</v>
      </c>
      <c r="V200" s="225" t="str">
        <f t="shared" si="49"/>
        <v>INDOIS 4.4 03/01/28 REGS</v>
      </c>
      <c r="W200" s="67">
        <f t="shared" si="56"/>
        <v>1.225E-2</v>
      </c>
      <c r="X200" s="151">
        <f t="shared" si="50"/>
        <v>2450</v>
      </c>
      <c r="Y200" s="152">
        <f ca="1">((Main!$C$4-D200)*(200000*(H200/100))/360)*0.025</f>
        <v>103.8888888888889</v>
      </c>
      <c r="Z200" s="152">
        <f t="shared" ca="1" si="51"/>
        <v>2553.8888888888887</v>
      </c>
      <c r="AA200" s="153">
        <f t="shared" ca="1" si="52"/>
        <v>9379.1569444444431</v>
      </c>
      <c r="AC200" s="67">
        <f t="shared" si="57"/>
        <v>1.2627300000000001E-2</v>
      </c>
      <c r="AD200" s="151">
        <f t="shared" si="53"/>
        <v>2525.46</v>
      </c>
      <c r="AE200">
        <f ca="1">((Main!$C$4-D200)*(200000*(H200/100))/360)*0.02577</f>
        <v>107.08866666666667</v>
      </c>
      <c r="AF200" s="152">
        <f t="shared" ca="1" si="54"/>
        <v>2632.5486666666666</v>
      </c>
      <c r="AG200" s="153">
        <f t="shared" ca="1" si="55"/>
        <v>9668.0349783333331</v>
      </c>
    </row>
    <row r="201" spans="1:33" ht="12.75" customHeight="1" x14ac:dyDescent="0.35">
      <c r="A201" s="38" t="s">
        <v>269</v>
      </c>
      <c r="B201" s="46" t="s">
        <v>866</v>
      </c>
      <c r="C201" s="22" t="s">
        <v>270</v>
      </c>
      <c r="D201" s="75">
        <f t="shared" si="45"/>
        <v>45997</v>
      </c>
      <c r="E201" s="75" t="s">
        <v>644</v>
      </c>
      <c r="F201" s="74">
        <f t="shared" si="46"/>
        <v>46362</v>
      </c>
      <c r="G201" s="228"/>
      <c r="H201" s="19">
        <v>4.4000000000000004</v>
      </c>
      <c r="I201" s="71" t="s">
        <v>19</v>
      </c>
      <c r="J201" s="27" t="s">
        <v>255</v>
      </c>
      <c r="K201" s="27" t="s">
        <v>750</v>
      </c>
      <c r="L201" s="27" t="s">
        <v>256</v>
      </c>
      <c r="M201" s="67">
        <v>0.49</v>
      </c>
      <c r="N201" s="67"/>
      <c r="O201" s="87" t="s">
        <v>932</v>
      </c>
      <c r="P201" s="137" t="s">
        <v>934</v>
      </c>
      <c r="Q201" s="46" t="s">
        <v>1016</v>
      </c>
      <c r="R201" t="b">
        <f t="shared" si="44"/>
        <v>0</v>
      </c>
      <c r="S201" t="b">
        <f t="shared" si="47"/>
        <v>1</v>
      </c>
      <c r="T201" t="b">
        <f t="shared" si="48"/>
        <v>1</v>
      </c>
      <c r="U201" s="46" t="s">
        <v>866</v>
      </c>
      <c r="V201" s="225" t="str">
        <f t="shared" si="49"/>
        <v>INDOIS 4.4 06/06/27 REGS</v>
      </c>
      <c r="W201" s="67">
        <f t="shared" si="56"/>
        <v>1.225E-2</v>
      </c>
      <c r="X201" s="151">
        <f t="shared" si="50"/>
        <v>2450</v>
      </c>
      <c r="Y201" s="152">
        <f ca="1">((Main!$C$4-D201)*(200000*(H201/100))/360)*0.025</f>
        <v>45.222222222222229</v>
      </c>
      <c r="Z201" s="152">
        <f t="shared" ca="1" si="51"/>
        <v>2495.2222222222222</v>
      </c>
      <c r="AA201" s="153">
        <f t="shared" ca="1" si="52"/>
        <v>9163.7036111111101</v>
      </c>
      <c r="AC201" s="67">
        <f t="shared" si="57"/>
        <v>1.2627300000000001E-2</v>
      </c>
      <c r="AD201" s="151">
        <f t="shared" si="53"/>
        <v>2525.46</v>
      </c>
      <c r="AE201">
        <f ca="1">((Main!$C$4-D201)*(200000*(H201/100))/360)*0.02577</f>
        <v>46.615066666666671</v>
      </c>
      <c r="AF201" s="152">
        <f t="shared" ca="1" si="54"/>
        <v>2572.0750666666668</v>
      </c>
      <c r="AG201" s="153">
        <f t="shared" ca="1" si="55"/>
        <v>9445.945682333333</v>
      </c>
    </row>
    <row r="202" spans="1:33" ht="12.75" customHeight="1" x14ac:dyDescent="0.35">
      <c r="A202" s="38" t="s">
        <v>271</v>
      </c>
      <c r="B202" s="46" t="s">
        <v>867</v>
      </c>
      <c r="C202" s="22" t="s">
        <v>272</v>
      </c>
      <c r="D202" s="75">
        <f t="shared" si="45"/>
        <v>45889</v>
      </c>
      <c r="E202" s="75" t="s">
        <v>665</v>
      </c>
      <c r="F202" s="74">
        <f t="shared" si="46"/>
        <v>46254</v>
      </c>
      <c r="G202" s="228"/>
      <c r="H202" s="19">
        <v>4.45</v>
      </c>
      <c r="I202" s="71" t="s">
        <v>19</v>
      </c>
      <c r="J202" s="27" t="s">
        <v>255</v>
      </c>
      <c r="K202" s="27" t="s">
        <v>750</v>
      </c>
      <c r="L202" s="27" t="s">
        <v>256</v>
      </c>
      <c r="M202" s="67">
        <v>0.49</v>
      </c>
      <c r="N202" s="67"/>
      <c r="O202" s="87" t="s">
        <v>932</v>
      </c>
      <c r="P202" s="137" t="s">
        <v>934</v>
      </c>
      <c r="Q202" s="46" t="s">
        <v>1016</v>
      </c>
      <c r="R202" t="b">
        <f t="shared" si="44"/>
        <v>0</v>
      </c>
      <c r="S202" t="b">
        <f t="shared" si="47"/>
        <v>1</v>
      </c>
      <c r="T202" t="b">
        <f t="shared" si="48"/>
        <v>1</v>
      </c>
      <c r="U202" s="46" t="s">
        <v>867</v>
      </c>
      <c r="V202" s="225" t="str">
        <f t="shared" si="49"/>
        <v>INDOIS 4.45 SUK-20/02/29</v>
      </c>
      <c r="W202" s="67">
        <f t="shared" si="56"/>
        <v>1.225E-2</v>
      </c>
      <c r="X202" s="151">
        <f t="shared" si="50"/>
        <v>2450</v>
      </c>
      <c r="Y202" s="152">
        <f ca="1">((Main!$C$4-D202)*(200000*(H202/100))/360)*0.025</f>
        <v>112.48611111111114</v>
      </c>
      <c r="Z202" s="152">
        <f t="shared" ca="1" si="51"/>
        <v>2562.4861111111113</v>
      </c>
      <c r="AA202" s="153">
        <f t="shared" ca="1" si="52"/>
        <v>9410.7302430555555</v>
      </c>
      <c r="AC202" s="67">
        <f t="shared" si="57"/>
        <v>1.2627300000000001E-2</v>
      </c>
      <c r="AD202" s="151">
        <f t="shared" si="53"/>
        <v>2525.46</v>
      </c>
      <c r="AE202">
        <f ca="1">((Main!$C$4-D202)*(200000*(H202/100))/360)*0.02577</f>
        <v>115.95068333333336</v>
      </c>
      <c r="AF202" s="152">
        <f t="shared" ca="1" si="54"/>
        <v>2641.4106833333335</v>
      </c>
      <c r="AG202" s="153">
        <f t="shared" ca="1" si="55"/>
        <v>9700.580734541667</v>
      </c>
    </row>
    <row r="203" spans="1:33" ht="12.75" customHeight="1" x14ac:dyDescent="0.35">
      <c r="A203" s="38" t="s">
        <v>495</v>
      </c>
      <c r="B203" s="46" t="s">
        <v>881</v>
      </c>
      <c r="C203" s="22" t="s">
        <v>496</v>
      </c>
      <c r="D203" s="75">
        <f t="shared" si="45"/>
        <v>45901</v>
      </c>
      <c r="E203" s="75" t="s">
        <v>664</v>
      </c>
      <c r="F203" s="74">
        <f t="shared" si="46"/>
        <v>46266</v>
      </c>
      <c r="G203" s="228"/>
      <c r="H203" s="19">
        <v>6.75</v>
      </c>
      <c r="I203" s="71" t="s">
        <v>19</v>
      </c>
      <c r="J203" s="2" t="s">
        <v>8</v>
      </c>
      <c r="K203" s="60" t="s">
        <v>741</v>
      </c>
      <c r="L203" s="2" t="s">
        <v>5</v>
      </c>
      <c r="M203" s="67">
        <v>0</v>
      </c>
      <c r="N203" s="67"/>
      <c r="O203" s="87" t="s">
        <v>933</v>
      </c>
      <c r="P203" s="137" t="s">
        <v>927</v>
      </c>
      <c r="Q203" s="46" t="s">
        <v>1017</v>
      </c>
      <c r="R203" t="b">
        <f t="shared" si="44"/>
        <v>0</v>
      </c>
      <c r="S203" t="b">
        <f t="shared" si="47"/>
        <v>1</v>
      </c>
      <c r="T203" t="b">
        <f t="shared" si="48"/>
        <v>1</v>
      </c>
      <c r="U203" s="46" t="s">
        <v>881</v>
      </c>
      <c r="V203" s="225" t="str">
        <f t="shared" si="49"/>
        <v>TURK SK 6.75  01-09-30</v>
      </c>
      <c r="W203" s="67">
        <f t="shared" si="56"/>
        <v>0</v>
      </c>
      <c r="X203" s="151">
        <f t="shared" si="50"/>
        <v>0</v>
      </c>
      <c r="Y203" s="152">
        <f ca="1">((Main!$C$4-D203)*(200000*(H203/100))/360)*0.025</f>
        <v>159.375</v>
      </c>
      <c r="Z203" s="152">
        <f t="shared" ca="1" si="51"/>
        <v>159.375</v>
      </c>
      <c r="AA203" s="153">
        <f t="shared" ca="1" si="52"/>
        <v>585.3046875</v>
      </c>
      <c r="AC203" s="67">
        <f t="shared" si="57"/>
        <v>0</v>
      </c>
      <c r="AD203" s="151">
        <f t="shared" si="53"/>
        <v>0</v>
      </c>
      <c r="AE203">
        <f ca="1">((Main!$C$4-D203)*(200000*(H203/100))/360)*0.02577</f>
        <v>164.28375</v>
      </c>
      <c r="AF203" s="152">
        <f t="shared" ca="1" si="54"/>
        <v>164.28375</v>
      </c>
      <c r="AG203" s="153">
        <f t="shared" ca="1" si="55"/>
        <v>603.332071875</v>
      </c>
    </row>
    <row r="204" spans="1:33" ht="12.75" customHeight="1" x14ac:dyDescent="0.35">
      <c r="A204" s="38" t="s">
        <v>497</v>
      </c>
      <c r="B204" s="46" t="s">
        <v>882</v>
      </c>
      <c r="C204" s="22" t="s">
        <v>498</v>
      </c>
      <c r="D204" s="75">
        <f t="shared" si="45"/>
        <v>46013</v>
      </c>
      <c r="E204" s="75" t="s">
        <v>601</v>
      </c>
      <c r="F204" s="74">
        <f t="shared" si="46"/>
        <v>46378</v>
      </c>
      <c r="G204" s="228"/>
      <c r="H204" s="19">
        <v>5.125</v>
      </c>
      <c r="I204" s="71" t="s">
        <v>19</v>
      </c>
      <c r="J204" s="2" t="s">
        <v>8</v>
      </c>
      <c r="K204" s="60" t="s">
        <v>741</v>
      </c>
      <c r="L204" s="2" t="s">
        <v>5</v>
      </c>
      <c r="M204" s="67">
        <v>0</v>
      </c>
      <c r="N204" s="67"/>
      <c r="O204" s="87" t="s">
        <v>933</v>
      </c>
      <c r="P204" s="137" t="s">
        <v>927</v>
      </c>
      <c r="Q204" s="46" t="s">
        <v>1017</v>
      </c>
      <c r="R204" t="b">
        <f t="shared" si="44"/>
        <v>0</v>
      </c>
      <c r="S204" t="b">
        <f t="shared" si="47"/>
        <v>1</v>
      </c>
      <c r="T204" t="b">
        <f t="shared" si="48"/>
        <v>1</v>
      </c>
      <c r="U204" s="46" t="s">
        <v>882</v>
      </c>
      <c r="V204" s="225" t="str">
        <f t="shared" si="49"/>
        <v>TURKSK 5.125 22-JUNE-26</v>
      </c>
      <c r="W204" s="67">
        <f t="shared" si="56"/>
        <v>0</v>
      </c>
      <c r="X204" s="151">
        <f t="shared" si="50"/>
        <v>0</v>
      </c>
      <c r="Y204" s="152">
        <f ca="1">((Main!$C$4-D204)*(200000*(H204/100))/360)*0.025</f>
        <v>41.284722222222229</v>
      </c>
      <c r="Z204" s="152">
        <f t="shared" ca="1" si="51"/>
        <v>41.284722222222229</v>
      </c>
      <c r="AA204" s="153">
        <f t="shared" ca="1" si="52"/>
        <v>151.61814236111113</v>
      </c>
      <c r="AC204" s="67">
        <f t="shared" si="57"/>
        <v>0</v>
      </c>
      <c r="AD204" s="151">
        <f t="shared" si="53"/>
        <v>0</v>
      </c>
      <c r="AE204">
        <f ca="1">((Main!$C$4-D204)*(200000*(H204/100))/360)*0.02577</f>
        <v>42.556291666666667</v>
      </c>
      <c r="AF204" s="152">
        <f t="shared" ca="1" si="54"/>
        <v>42.556291666666667</v>
      </c>
      <c r="AG204" s="153">
        <f t="shared" ca="1" si="55"/>
        <v>156.28798114583333</v>
      </c>
    </row>
    <row r="205" spans="1:33" ht="12.75" customHeight="1" x14ac:dyDescent="0.35">
      <c r="A205" s="38" t="s">
        <v>499</v>
      </c>
      <c r="B205" s="46" t="s">
        <v>883</v>
      </c>
      <c r="C205" s="22" t="s">
        <v>500</v>
      </c>
      <c r="D205" s="75">
        <f t="shared" si="45"/>
        <v>45956</v>
      </c>
      <c r="E205" s="75" t="s">
        <v>666</v>
      </c>
      <c r="F205" s="74">
        <f t="shared" si="46"/>
        <v>46321</v>
      </c>
      <c r="G205" s="228"/>
      <c r="H205" s="19">
        <v>6.5</v>
      </c>
      <c r="I205" s="71" t="s">
        <v>19</v>
      </c>
      <c r="J205" s="2" t="s">
        <v>8</v>
      </c>
      <c r="K205" s="60" t="s">
        <v>741</v>
      </c>
      <c r="L205" s="2" t="s">
        <v>5</v>
      </c>
      <c r="M205" s="67">
        <v>0</v>
      </c>
      <c r="N205" s="67"/>
      <c r="O205" s="87" t="s">
        <v>933</v>
      </c>
      <c r="P205" s="137" t="s">
        <v>927</v>
      </c>
      <c r="Q205" s="46" t="s">
        <v>1017</v>
      </c>
      <c r="R205" t="b">
        <f t="shared" si="44"/>
        <v>0</v>
      </c>
      <c r="S205" t="b">
        <f t="shared" si="47"/>
        <v>1</v>
      </c>
      <c r="T205" t="b">
        <f t="shared" si="48"/>
        <v>1</v>
      </c>
      <c r="U205" s="46" t="s">
        <v>883</v>
      </c>
      <c r="V205" s="225" t="str">
        <f t="shared" si="49"/>
        <v>TURKSK 6.5 26/04/2030</v>
      </c>
      <c r="W205" s="67">
        <f t="shared" si="56"/>
        <v>0</v>
      </c>
      <c r="X205" s="151">
        <f t="shared" si="50"/>
        <v>0</v>
      </c>
      <c r="Y205" s="152">
        <f ca="1">((Main!$C$4-D205)*(200000*(H205/100))/360)*0.025</f>
        <v>103.81944444444444</v>
      </c>
      <c r="Z205" s="152">
        <f t="shared" ca="1" si="51"/>
        <v>103.81944444444444</v>
      </c>
      <c r="AA205" s="153">
        <f t="shared" ca="1" si="52"/>
        <v>381.27690972222223</v>
      </c>
      <c r="AC205" s="67">
        <f t="shared" si="57"/>
        <v>0</v>
      </c>
      <c r="AD205" s="151">
        <f t="shared" si="53"/>
        <v>0</v>
      </c>
      <c r="AE205">
        <f ca="1">((Main!$C$4-D205)*(200000*(H205/100))/360)*0.02577</f>
        <v>107.01708333333333</v>
      </c>
      <c r="AF205" s="152">
        <f t="shared" ca="1" si="54"/>
        <v>107.01708333333333</v>
      </c>
      <c r="AG205" s="153">
        <f t="shared" ca="1" si="55"/>
        <v>393.02023854166663</v>
      </c>
    </row>
    <row r="206" spans="1:33" ht="12.75" customHeight="1" x14ac:dyDescent="0.35">
      <c r="A206" s="38" t="s">
        <v>501</v>
      </c>
      <c r="B206" s="46" t="s">
        <v>884</v>
      </c>
      <c r="C206" s="22" t="s">
        <v>502</v>
      </c>
      <c r="D206" s="75">
        <f t="shared" si="45"/>
        <v>45893</v>
      </c>
      <c r="E206" s="75" t="s">
        <v>667</v>
      </c>
      <c r="F206" s="74">
        <f t="shared" si="46"/>
        <v>46258</v>
      </c>
      <c r="G206" s="228"/>
      <c r="H206" s="19">
        <v>7.25</v>
      </c>
      <c r="I206" s="71" t="s">
        <v>19</v>
      </c>
      <c r="J206" s="2" t="s">
        <v>8</v>
      </c>
      <c r="K206" s="60" t="s">
        <v>741</v>
      </c>
      <c r="L206" s="2" t="s">
        <v>5</v>
      </c>
      <c r="M206" s="67">
        <v>0</v>
      </c>
      <c r="N206" s="67"/>
      <c r="O206" s="87" t="s">
        <v>933</v>
      </c>
      <c r="P206" s="137" t="s">
        <v>927</v>
      </c>
      <c r="Q206" s="46" t="s">
        <v>1017</v>
      </c>
      <c r="R206" t="b">
        <f t="shared" si="44"/>
        <v>0</v>
      </c>
      <c r="S206" t="b">
        <f t="shared" si="47"/>
        <v>1</v>
      </c>
      <c r="T206" t="b">
        <f t="shared" si="48"/>
        <v>1</v>
      </c>
      <c r="U206" s="46" t="s">
        <v>884</v>
      </c>
      <c r="V206" s="225" t="str">
        <f t="shared" si="49"/>
        <v>TURKSK 7.25    24/02/2027</v>
      </c>
      <c r="W206" s="67">
        <f t="shared" si="56"/>
        <v>0</v>
      </c>
      <c r="X206" s="151">
        <f t="shared" si="50"/>
        <v>0</v>
      </c>
      <c r="Y206" s="152">
        <f ca="1">((Main!$C$4-D206)*(200000*(H206/100))/360)*0.025</f>
        <v>179.23611111111109</v>
      </c>
      <c r="Z206" s="152">
        <f t="shared" ca="1" si="51"/>
        <v>179.23611111111109</v>
      </c>
      <c r="AA206" s="153">
        <f t="shared" ca="1" si="52"/>
        <v>658.24461805555541</v>
      </c>
      <c r="AC206" s="67">
        <f t="shared" si="57"/>
        <v>0</v>
      </c>
      <c r="AD206" s="151">
        <f t="shared" si="53"/>
        <v>0</v>
      </c>
      <c r="AE206">
        <f ca="1">((Main!$C$4-D206)*(200000*(H206/100))/360)*0.02577</f>
        <v>184.75658333333331</v>
      </c>
      <c r="AF206" s="152">
        <f t="shared" ca="1" si="54"/>
        <v>184.75658333333331</v>
      </c>
      <c r="AG206" s="153">
        <f t="shared" ca="1" si="55"/>
        <v>678.51855229166654</v>
      </c>
    </row>
    <row r="207" spans="1:33" ht="12.75" customHeight="1" x14ac:dyDescent="0.35">
      <c r="A207" s="38" t="s">
        <v>503</v>
      </c>
      <c r="B207" s="46" t="s">
        <v>885</v>
      </c>
      <c r="C207" s="22" t="s">
        <v>504</v>
      </c>
      <c r="D207" s="75">
        <f t="shared" si="45"/>
        <v>46036</v>
      </c>
      <c r="E207" s="75" t="s">
        <v>605</v>
      </c>
      <c r="F207" s="74">
        <f t="shared" si="46"/>
        <v>46401</v>
      </c>
      <c r="G207" s="228"/>
      <c r="H207" s="19">
        <v>8.5091000000000001</v>
      </c>
      <c r="I207" s="71" t="s">
        <v>19</v>
      </c>
      <c r="J207" s="2" t="s">
        <v>8</v>
      </c>
      <c r="K207" s="60" t="s">
        <v>741</v>
      </c>
      <c r="L207" s="2" t="s">
        <v>5</v>
      </c>
      <c r="M207" s="67">
        <v>0</v>
      </c>
      <c r="N207" s="67"/>
      <c r="O207" s="87" t="s">
        <v>933</v>
      </c>
      <c r="P207" s="137" t="s">
        <v>927</v>
      </c>
      <c r="Q207" s="46" t="s">
        <v>1017</v>
      </c>
      <c r="R207" t="b">
        <f t="shared" si="44"/>
        <v>0</v>
      </c>
      <c r="S207" t="b">
        <f t="shared" si="47"/>
        <v>1</v>
      </c>
      <c r="T207" t="b">
        <f t="shared" si="48"/>
        <v>1</v>
      </c>
      <c r="U207" s="46" t="s">
        <v>885</v>
      </c>
      <c r="V207" s="225" t="str">
        <f t="shared" si="49"/>
        <v>TURKSK 8.5091 14/01/29</v>
      </c>
      <c r="W207" s="67">
        <f t="shared" si="56"/>
        <v>0</v>
      </c>
      <c r="X207" s="151">
        <f t="shared" si="50"/>
        <v>0</v>
      </c>
      <c r="Y207" s="152">
        <f ca="1">((Main!$C$4-D207)*(200000*(H207/100))/360)*0.025</f>
        <v>41.363680555555561</v>
      </c>
      <c r="Z207" s="152">
        <f t="shared" ca="1" si="51"/>
        <v>41.363680555555561</v>
      </c>
      <c r="AA207" s="153">
        <f t="shared" ca="1" si="52"/>
        <v>151.90811684027778</v>
      </c>
      <c r="AC207" s="67">
        <f t="shared" si="57"/>
        <v>0</v>
      </c>
      <c r="AD207" s="151">
        <f t="shared" si="53"/>
        <v>0</v>
      </c>
      <c r="AE207">
        <f ca="1">((Main!$C$4-D207)*(200000*(H207/100))/360)*0.02577</f>
        <v>42.637681916666672</v>
      </c>
      <c r="AF207" s="152">
        <f t="shared" ca="1" si="54"/>
        <v>42.637681916666672</v>
      </c>
      <c r="AG207" s="153">
        <f t="shared" ca="1" si="55"/>
        <v>156.58688683895835</v>
      </c>
    </row>
    <row r="208" spans="1:33" ht="12.75" customHeight="1" x14ac:dyDescent="0.35">
      <c r="A208" s="38" t="s">
        <v>475</v>
      </c>
      <c r="B208" s="46" t="s">
        <v>886</v>
      </c>
      <c r="C208" s="22" t="s">
        <v>476</v>
      </c>
      <c r="D208" s="75">
        <f t="shared" si="45"/>
        <v>46041</v>
      </c>
      <c r="E208" s="75" t="s">
        <v>598</v>
      </c>
      <c r="F208" s="74">
        <f t="shared" si="46"/>
        <v>46406</v>
      </c>
      <c r="G208" s="228"/>
      <c r="H208" s="19">
        <v>2.3420000000000001</v>
      </c>
      <c r="I208" s="71" t="s">
        <v>19</v>
      </c>
      <c r="J208" s="2" t="s">
        <v>54</v>
      </c>
      <c r="K208" s="2" t="s">
        <v>759</v>
      </c>
      <c r="L208" s="1" t="s">
        <v>338</v>
      </c>
      <c r="M208" s="67">
        <v>0.45</v>
      </c>
      <c r="N208" s="67"/>
      <c r="O208" s="87" t="s">
        <v>946</v>
      </c>
      <c r="P208" s="137" t="s">
        <v>947</v>
      </c>
      <c r="Q208" s="46" t="s">
        <v>1018</v>
      </c>
      <c r="R208" t="b">
        <f t="shared" si="44"/>
        <v>0</v>
      </c>
      <c r="S208" t="b">
        <f t="shared" si="47"/>
        <v>1</v>
      </c>
      <c r="T208" t="b">
        <f t="shared" si="48"/>
        <v>1</v>
      </c>
      <c r="U208" s="46" t="s">
        <v>886</v>
      </c>
      <c r="V208" s="225" t="str">
        <f t="shared" si="49"/>
        <v>SNBAB 2.342 01/19/27</v>
      </c>
      <c r="W208" s="67">
        <f t="shared" si="56"/>
        <v>1.1250000000000001E-2</v>
      </c>
      <c r="X208" s="151">
        <f t="shared" si="50"/>
        <v>2250.0000000000005</v>
      </c>
      <c r="Y208" s="152">
        <f ca="1">((Main!$C$4-D208)*(200000*(H208/100))/360)*0.025</f>
        <v>9.7583333333333329</v>
      </c>
      <c r="Z208" s="152">
        <f t="shared" ca="1" si="51"/>
        <v>2259.7583333333337</v>
      </c>
      <c r="AA208" s="153">
        <f t="shared" ca="1" si="52"/>
        <v>8298.9624791666683</v>
      </c>
      <c r="AC208" s="67">
        <f t="shared" si="57"/>
        <v>1.1596500000000001E-2</v>
      </c>
      <c r="AD208" s="151">
        <f t="shared" si="53"/>
        <v>2319.3000000000002</v>
      </c>
      <c r="AE208">
        <f ca="1">((Main!$C$4-D208)*(200000*(H208/100))/360)*0.02577</f>
        <v>10.05889</v>
      </c>
      <c r="AF208" s="152">
        <f t="shared" ca="1" si="54"/>
        <v>2329.35889</v>
      </c>
      <c r="AG208" s="153">
        <f t="shared" ca="1" si="55"/>
        <v>8554.5705235249989</v>
      </c>
    </row>
    <row r="209" spans="1:33" ht="12.75" customHeight="1" x14ac:dyDescent="0.35">
      <c r="A209" s="38" t="s">
        <v>477</v>
      </c>
      <c r="B209" s="46" t="s">
        <v>887</v>
      </c>
      <c r="C209" s="22" t="s">
        <v>478</v>
      </c>
      <c r="D209" s="75">
        <f t="shared" si="45"/>
        <v>45896</v>
      </c>
      <c r="E209" s="75" t="s">
        <v>606</v>
      </c>
      <c r="F209" s="74">
        <f t="shared" si="46"/>
        <v>46261</v>
      </c>
      <c r="G209" s="228"/>
      <c r="H209" s="19">
        <v>5.1289999999999996</v>
      </c>
      <c r="I209" s="71" t="s">
        <v>19</v>
      </c>
      <c r="J209" s="2" t="s">
        <v>54</v>
      </c>
      <c r="K209" s="2" t="s">
        <v>759</v>
      </c>
      <c r="L209" s="1" t="s">
        <v>338</v>
      </c>
      <c r="M209" s="67">
        <v>0.45</v>
      </c>
      <c r="N209" s="67"/>
      <c r="O209" s="87" t="s">
        <v>946</v>
      </c>
      <c r="P209" s="137" t="s">
        <v>947</v>
      </c>
      <c r="Q209" s="46" t="s">
        <v>1018</v>
      </c>
      <c r="R209" t="b">
        <f t="shared" si="44"/>
        <v>0</v>
      </c>
      <c r="S209" t="b">
        <f t="shared" si="47"/>
        <v>1</v>
      </c>
      <c r="T209" t="b">
        <f t="shared" si="48"/>
        <v>1</v>
      </c>
      <c r="U209" s="46" t="s">
        <v>887</v>
      </c>
      <c r="V209" s="225" t="str">
        <f t="shared" si="49"/>
        <v>SNBAB 5.129 27/02/2029</v>
      </c>
      <c r="W209" s="67">
        <f t="shared" si="56"/>
        <v>1.1250000000000001E-2</v>
      </c>
      <c r="X209" s="151">
        <f t="shared" si="50"/>
        <v>2250.0000000000005</v>
      </c>
      <c r="Y209" s="152">
        <f ca="1">((Main!$C$4-D209)*(200000*(H209/100))/360)*0.025</f>
        <v>124.66319444444444</v>
      </c>
      <c r="Z209" s="152">
        <f t="shared" ca="1" si="51"/>
        <v>2374.6631944444448</v>
      </c>
      <c r="AA209" s="153">
        <f t="shared" ca="1" si="52"/>
        <v>8720.9505815972225</v>
      </c>
      <c r="AC209" s="67">
        <f t="shared" si="57"/>
        <v>1.1596500000000001E-2</v>
      </c>
      <c r="AD209" s="151">
        <f t="shared" si="53"/>
        <v>2319.3000000000002</v>
      </c>
      <c r="AE209">
        <f ca="1">((Main!$C$4-D209)*(200000*(H209/100))/360)*0.02577</f>
        <v>128.50282083333332</v>
      </c>
      <c r="AF209" s="152">
        <f t="shared" ca="1" si="54"/>
        <v>2447.8028208333335</v>
      </c>
      <c r="AG209" s="153">
        <f t="shared" ca="1" si="55"/>
        <v>8989.5558595104176</v>
      </c>
    </row>
    <row r="210" spans="1:33" ht="12.75" customHeight="1" x14ac:dyDescent="0.35">
      <c r="A210" s="38" t="s">
        <v>407</v>
      </c>
      <c r="B210" s="46" t="s">
        <v>406</v>
      </c>
      <c r="C210" s="22" t="s">
        <v>408</v>
      </c>
      <c r="D210" s="75">
        <f t="shared" si="45"/>
        <v>45971</v>
      </c>
      <c r="E210" s="75" t="s">
        <v>669</v>
      </c>
      <c r="F210" s="74">
        <f t="shared" si="46"/>
        <v>46336</v>
      </c>
      <c r="G210" s="228"/>
      <c r="H210" s="19">
        <v>4.25</v>
      </c>
      <c r="I210" s="71" t="s">
        <v>19</v>
      </c>
      <c r="J210" s="2" t="s">
        <v>4</v>
      </c>
      <c r="K210" s="2" t="s">
        <v>749</v>
      </c>
      <c r="L210" s="27" t="s">
        <v>5</v>
      </c>
      <c r="M210" s="67">
        <v>0.45</v>
      </c>
      <c r="N210" s="67"/>
      <c r="O210" s="87" t="s">
        <v>928</v>
      </c>
      <c r="P210" s="137" t="s">
        <v>929</v>
      </c>
      <c r="Q210" s="46" t="s">
        <v>406</v>
      </c>
      <c r="R210" t="b">
        <f t="shared" si="44"/>
        <v>1</v>
      </c>
      <c r="S210" t="b">
        <f t="shared" si="47"/>
        <v>1</v>
      </c>
      <c r="T210" t="b">
        <f t="shared" si="48"/>
        <v>1</v>
      </c>
      <c r="U210" s="46" t="s">
        <v>406</v>
      </c>
      <c r="V210" s="225" t="str">
        <f t="shared" si="49"/>
        <v>QATAR 4.25 10/11/35</v>
      </c>
      <c r="W210" s="67">
        <f t="shared" si="56"/>
        <v>1.1250000000000001E-2</v>
      </c>
      <c r="X210" s="151">
        <f t="shared" si="50"/>
        <v>2250.0000000000005</v>
      </c>
      <c r="Y210" s="152">
        <f ca="1">((Main!$C$4-D210)*(200000*(H210/100))/360)*0.025</f>
        <v>59.027777777777786</v>
      </c>
      <c r="Z210" s="152">
        <f t="shared" ca="1" si="51"/>
        <v>2309.0277777777783</v>
      </c>
      <c r="AA210" s="153">
        <f t="shared" ca="1" si="52"/>
        <v>8479.9045138888905</v>
      </c>
      <c r="AC210" s="67">
        <f t="shared" si="57"/>
        <v>1.1596500000000001E-2</v>
      </c>
      <c r="AD210" s="151">
        <f t="shared" si="53"/>
        <v>2319.3000000000002</v>
      </c>
      <c r="AE210">
        <f ca="1">((Main!$C$4-D210)*(200000*(H210/100))/360)*0.02577</f>
        <v>60.845833333333339</v>
      </c>
      <c r="AF210" s="152">
        <f t="shared" ca="1" si="54"/>
        <v>2380.1458333333335</v>
      </c>
      <c r="AG210" s="153">
        <f t="shared" ca="1" si="55"/>
        <v>8741.0855729166669</v>
      </c>
    </row>
    <row r="211" spans="1:33" ht="12.75" customHeight="1" x14ac:dyDescent="0.35">
      <c r="A211" s="38" t="s">
        <v>511</v>
      </c>
      <c r="B211" s="46" t="s">
        <v>888</v>
      </c>
      <c r="C211" s="22" t="s">
        <v>512</v>
      </c>
      <c r="D211" s="75">
        <f t="shared" si="45"/>
        <v>45960</v>
      </c>
      <c r="E211" s="75" t="s">
        <v>562</v>
      </c>
      <c r="F211" s="74">
        <f t="shared" si="46"/>
        <v>46325</v>
      </c>
      <c r="G211" s="228"/>
      <c r="H211" s="19">
        <v>3.49</v>
      </c>
      <c r="I211" s="71" t="s">
        <v>19</v>
      </c>
      <c r="J211" s="2" t="s">
        <v>4</v>
      </c>
      <c r="K211" s="2" t="s">
        <v>749</v>
      </c>
      <c r="L211" s="2" t="s">
        <v>513</v>
      </c>
      <c r="M211" s="67">
        <v>0.45</v>
      </c>
      <c r="N211" s="67"/>
      <c r="O211" s="87" t="s">
        <v>928</v>
      </c>
      <c r="P211" s="137" t="s">
        <v>929</v>
      </c>
      <c r="Q211" s="46" t="s">
        <v>1019</v>
      </c>
      <c r="R211" t="b">
        <f t="shared" si="44"/>
        <v>0</v>
      </c>
      <c r="S211" t="b">
        <f t="shared" si="47"/>
        <v>1</v>
      </c>
      <c r="T211" t="b">
        <f t="shared" si="48"/>
        <v>1</v>
      </c>
      <c r="U211" s="46" t="s">
        <v>888</v>
      </c>
      <c r="V211" s="225" t="str">
        <f t="shared" si="49"/>
        <v>UAESUK 3.49 30/10/27</v>
      </c>
      <c r="W211" s="67">
        <f t="shared" si="56"/>
        <v>1.1250000000000001E-2</v>
      </c>
      <c r="X211" s="151">
        <f t="shared" si="50"/>
        <v>2250.0000000000005</v>
      </c>
      <c r="Y211" s="152">
        <f ca="1">((Main!$C$4-D211)*(200000*(H211/100))/360)*0.025</f>
        <v>53.804166666666667</v>
      </c>
      <c r="Z211" s="152">
        <f t="shared" ca="1" si="51"/>
        <v>2303.8041666666672</v>
      </c>
      <c r="AA211" s="153">
        <f t="shared" ca="1" si="52"/>
        <v>8460.720802083335</v>
      </c>
      <c r="AC211" s="67">
        <f t="shared" si="57"/>
        <v>1.1596500000000001E-2</v>
      </c>
      <c r="AD211" s="151">
        <f t="shared" si="53"/>
        <v>2319.3000000000002</v>
      </c>
      <c r="AE211">
        <f ca="1">((Main!$C$4-D211)*(200000*(H211/100))/360)*0.02577</f>
        <v>55.461334999999998</v>
      </c>
      <c r="AF211" s="152">
        <f t="shared" ca="1" si="54"/>
        <v>2374.7613350000001</v>
      </c>
      <c r="AG211" s="153">
        <f t="shared" ca="1" si="55"/>
        <v>8721.3110027875009</v>
      </c>
    </row>
    <row r="212" spans="1:33" ht="12.75" customHeight="1" x14ac:dyDescent="0.35">
      <c r="A212" s="38" t="s">
        <v>514</v>
      </c>
      <c r="B212" s="46" t="s">
        <v>889</v>
      </c>
      <c r="C212" s="22" t="s">
        <v>515</v>
      </c>
      <c r="D212" s="75">
        <f t="shared" si="45"/>
        <v>45926</v>
      </c>
      <c r="E212" s="75" t="s">
        <v>596</v>
      </c>
      <c r="F212" s="74">
        <f t="shared" si="46"/>
        <v>46291</v>
      </c>
      <c r="G212" s="228"/>
      <c r="H212" s="19">
        <v>3.65</v>
      </c>
      <c r="I212" s="71" t="s">
        <v>19</v>
      </c>
      <c r="J212" s="2" t="s">
        <v>4</v>
      </c>
      <c r="K212" s="2" t="s">
        <v>749</v>
      </c>
      <c r="L212" s="2" t="s">
        <v>513</v>
      </c>
      <c r="M212" s="67">
        <v>0.45</v>
      </c>
      <c r="N212" s="67"/>
      <c r="O212" s="87" t="s">
        <v>928</v>
      </c>
      <c r="P212" s="137" t="s">
        <v>929</v>
      </c>
      <c r="Q212" s="46" t="s">
        <v>1019</v>
      </c>
      <c r="R212" t="b">
        <f t="shared" si="44"/>
        <v>0</v>
      </c>
      <c r="S212" t="b">
        <f t="shared" si="47"/>
        <v>1</v>
      </c>
      <c r="T212" t="b">
        <f t="shared" si="48"/>
        <v>1</v>
      </c>
      <c r="U212" s="46" t="s">
        <v>889</v>
      </c>
      <c r="V212" s="225" t="str">
        <f t="shared" si="49"/>
        <v>UAESUK 3.65 26/09/2029</v>
      </c>
      <c r="W212" s="67">
        <f t="shared" si="56"/>
        <v>1.1250000000000001E-2</v>
      </c>
      <c r="X212" s="151">
        <f t="shared" si="50"/>
        <v>2250.0000000000005</v>
      </c>
      <c r="Y212" s="152">
        <f ca="1">((Main!$C$4-D212)*(200000*(H212/100))/360)*0.025</f>
        <v>73.506944444444429</v>
      </c>
      <c r="Z212" s="152">
        <f t="shared" ca="1" si="51"/>
        <v>2323.5069444444448</v>
      </c>
      <c r="AA212" s="153">
        <f t="shared" ca="1" si="52"/>
        <v>8533.0792534722241</v>
      </c>
      <c r="AC212" s="67">
        <f t="shared" si="57"/>
        <v>1.1596500000000001E-2</v>
      </c>
      <c r="AD212" s="151">
        <f t="shared" si="53"/>
        <v>2319.3000000000002</v>
      </c>
      <c r="AE212">
        <f ca="1">((Main!$C$4-D212)*(200000*(H212/100))/360)*0.02577</f>
        <v>75.770958333333311</v>
      </c>
      <c r="AF212" s="152">
        <f t="shared" ca="1" si="54"/>
        <v>2395.0709583333337</v>
      </c>
      <c r="AG212" s="153">
        <f t="shared" ca="1" si="55"/>
        <v>8795.8980944791674</v>
      </c>
    </row>
    <row r="213" spans="1:33" ht="12.75" customHeight="1" x14ac:dyDescent="0.35">
      <c r="A213" s="38" t="s">
        <v>516</v>
      </c>
      <c r="B213" s="46" t="s">
        <v>890</v>
      </c>
      <c r="C213" s="22" t="s">
        <v>517</v>
      </c>
      <c r="D213" s="75">
        <f t="shared" si="45"/>
        <v>45972</v>
      </c>
      <c r="E213" s="75" t="s">
        <v>670</v>
      </c>
      <c r="F213" s="74">
        <f t="shared" si="46"/>
        <v>46337</v>
      </c>
      <c r="G213" s="228"/>
      <c r="H213" s="19">
        <v>3.7</v>
      </c>
      <c r="I213" s="71" t="s">
        <v>19</v>
      </c>
      <c r="J213" s="2" t="s">
        <v>4</v>
      </c>
      <c r="K213" s="2" t="s">
        <v>749</v>
      </c>
      <c r="L213" s="2" t="s">
        <v>513</v>
      </c>
      <c r="M213" s="67">
        <v>0.45</v>
      </c>
      <c r="N213" s="67"/>
      <c r="O213" s="87" t="s">
        <v>928</v>
      </c>
      <c r="P213" s="137" t="s">
        <v>929</v>
      </c>
      <c r="Q213" s="46" t="s">
        <v>1019</v>
      </c>
      <c r="R213" t="b">
        <f t="shared" si="44"/>
        <v>0</v>
      </c>
      <c r="S213" t="b">
        <f t="shared" si="47"/>
        <v>1</v>
      </c>
      <c r="T213" t="b">
        <f t="shared" si="48"/>
        <v>1</v>
      </c>
      <c r="U213" s="46" t="s">
        <v>890</v>
      </c>
      <c r="V213" s="225" t="str">
        <f t="shared" si="49"/>
        <v>UAESUK 3.7 11/05/26</v>
      </c>
      <c r="W213" s="67">
        <f t="shared" si="56"/>
        <v>1.1250000000000001E-2</v>
      </c>
      <c r="X213" s="151">
        <f t="shared" si="50"/>
        <v>2250.0000000000005</v>
      </c>
      <c r="Y213" s="152">
        <f ca="1">((Main!$C$4-D213)*(200000*(H213/100))/360)*0.025</f>
        <v>50.875000000000007</v>
      </c>
      <c r="Z213" s="152">
        <f t="shared" ca="1" si="51"/>
        <v>2300.8750000000005</v>
      </c>
      <c r="AA213" s="153">
        <f t="shared" ca="1" si="52"/>
        <v>8449.9634375000005</v>
      </c>
      <c r="AC213" s="67">
        <f t="shared" si="57"/>
        <v>1.1596500000000001E-2</v>
      </c>
      <c r="AD213" s="151">
        <f t="shared" si="53"/>
        <v>2319.3000000000002</v>
      </c>
      <c r="AE213">
        <f ca="1">((Main!$C$4-D213)*(200000*(H213/100))/360)*0.02577</f>
        <v>52.441950000000006</v>
      </c>
      <c r="AF213" s="152">
        <f t="shared" ca="1" si="54"/>
        <v>2371.7419500000001</v>
      </c>
      <c r="AG213" s="153">
        <f t="shared" ca="1" si="55"/>
        <v>8710.2223113750006</v>
      </c>
    </row>
    <row r="214" spans="1:33" ht="12.75" customHeight="1" x14ac:dyDescent="0.35">
      <c r="A214" s="38" t="s">
        <v>518</v>
      </c>
      <c r="B214" s="46" t="s">
        <v>891</v>
      </c>
      <c r="C214" s="22" t="s">
        <v>519</v>
      </c>
      <c r="D214" s="75">
        <f t="shared" si="45"/>
        <v>45983</v>
      </c>
      <c r="E214" s="75" t="s">
        <v>580</v>
      </c>
      <c r="F214" s="74">
        <f t="shared" si="46"/>
        <v>46348</v>
      </c>
      <c r="G214" s="228"/>
      <c r="H214" s="19">
        <v>4.0599999999999996</v>
      </c>
      <c r="I214" s="71" t="s">
        <v>19</v>
      </c>
      <c r="J214" s="2" t="s">
        <v>4</v>
      </c>
      <c r="K214" s="2" t="s">
        <v>749</v>
      </c>
      <c r="L214" s="2" t="s">
        <v>513</v>
      </c>
      <c r="M214" s="67">
        <v>0.45</v>
      </c>
      <c r="N214" s="67"/>
      <c r="O214" s="87" t="s">
        <v>928</v>
      </c>
      <c r="P214" s="137" t="s">
        <v>929</v>
      </c>
      <c r="Q214" s="46" t="s">
        <v>1019</v>
      </c>
      <c r="R214" t="b">
        <f t="shared" si="44"/>
        <v>0</v>
      </c>
      <c r="S214" t="b">
        <f t="shared" si="47"/>
        <v>1</v>
      </c>
      <c r="T214" t="b">
        <f t="shared" si="48"/>
        <v>1</v>
      </c>
      <c r="U214" s="46" t="s">
        <v>891</v>
      </c>
      <c r="V214" s="225" t="str">
        <f t="shared" si="49"/>
        <v>UAESUK 4.06 22/05/30</v>
      </c>
      <c r="W214" s="67">
        <f t="shared" si="56"/>
        <v>1.1250000000000001E-2</v>
      </c>
      <c r="X214" s="151">
        <f t="shared" si="50"/>
        <v>2250.0000000000005</v>
      </c>
      <c r="Y214" s="152">
        <f ca="1">((Main!$C$4-D214)*(200000*(H214/100))/360)*0.025</f>
        <v>49.622222222222213</v>
      </c>
      <c r="Z214" s="152">
        <f t="shared" ca="1" si="51"/>
        <v>2299.6222222222227</v>
      </c>
      <c r="AA214" s="153">
        <f t="shared" ca="1" si="52"/>
        <v>8445.3626111111134</v>
      </c>
      <c r="AC214" s="67">
        <f t="shared" si="57"/>
        <v>1.1596500000000001E-2</v>
      </c>
      <c r="AD214" s="151">
        <f t="shared" si="53"/>
        <v>2319.3000000000002</v>
      </c>
      <c r="AE214">
        <f ca="1">((Main!$C$4-D214)*(200000*(H214/100))/360)*0.02577</f>
        <v>51.150586666666655</v>
      </c>
      <c r="AF214" s="152">
        <f t="shared" ca="1" si="54"/>
        <v>2370.4505866666668</v>
      </c>
      <c r="AG214" s="153">
        <f t="shared" ca="1" si="55"/>
        <v>8705.4797795333343</v>
      </c>
    </row>
    <row r="215" spans="1:33" ht="12.75" customHeight="1" x14ac:dyDescent="0.35">
      <c r="A215" s="38" t="s">
        <v>520</v>
      </c>
      <c r="B215" s="46" t="s">
        <v>892</v>
      </c>
      <c r="C215" s="22" t="s">
        <v>521</v>
      </c>
      <c r="D215" s="75">
        <f t="shared" si="45"/>
        <v>46033</v>
      </c>
      <c r="E215" s="75" t="s">
        <v>671</v>
      </c>
      <c r="F215" s="74">
        <f t="shared" si="46"/>
        <v>46398</v>
      </c>
      <c r="G215" s="228"/>
      <c r="H215" s="19">
        <v>4.12</v>
      </c>
      <c r="I215" s="71" t="s">
        <v>19</v>
      </c>
      <c r="J215" s="2" t="s">
        <v>4</v>
      </c>
      <c r="K215" s="2" t="s">
        <v>749</v>
      </c>
      <c r="L215" s="2" t="s">
        <v>513</v>
      </c>
      <c r="M215" s="67">
        <v>0.45</v>
      </c>
      <c r="N215" s="67"/>
      <c r="O215" s="87" t="s">
        <v>928</v>
      </c>
      <c r="P215" s="137" t="s">
        <v>929</v>
      </c>
      <c r="Q215" s="46" t="s">
        <v>1019</v>
      </c>
      <c r="R215" t="b">
        <f t="shared" si="44"/>
        <v>0</v>
      </c>
      <c r="S215" t="b">
        <f t="shared" si="47"/>
        <v>1</v>
      </c>
      <c r="T215" t="b">
        <f t="shared" si="48"/>
        <v>1</v>
      </c>
      <c r="U215" s="46" t="s">
        <v>892</v>
      </c>
      <c r="V215" s="225" t="str">
        <f t="shared" si="49"/>
        <v>UAESUK 4.12 11/01/2029</v>
      </c>
      <c r="W215" s="67">
        <f t="shared" si="56"/>
        <v>1.1250000000000001E-2</v>
      </c>
      <c r="X215" s="151">
        <f t="shared" si="50"/>
        <v>2250.0000000000005</v>
      </c>
      <c r="Y215" s="152">
        <f ca="1">((Main!$C$4-D215)*(200000*(H215/100))/360)*0.025</f>
        <v>21.744444444444447</v>
      </c>
      <c r="Z215" s="152">
        <f t="shared" ca="1" si="51"/>
        <v>2271.744444444445</v>
      </c>
      <c r="AA215" s="153">
        <f t="shared" ca="1" si="52"/>
        <v>8342.9814722222236</v>
      </c>
      <c r="AC215" s="67">
        <f t="shared" si="57"/>
        <v>1.1596500000000001E-2</v>
      </c>
      <c r="AD215" s="151">
        <f t="shared" si="53"/>
        <v>2319.3000000000002</v>
      </c>
      <c r="AE215">
        <f ca="1">((Main!$C$4-D215)*(200000*(H215/100))/360)*0.02577</f>
        <v>22.414173333333334</v>
      </c>
      <c r="AF215" s="152">
        <f t="shared" ca="1" si="54"/>
        <v>2341.7141733333333</v>
      </c>
      <c r="AG215" s="153">
        <f t="shared" ca="1" si="55"/>
        <v>8599.9453015666659</v>
      </c>
    </row>
    <row r="216" spans="1:33" ht="12.75" customHeight="1" x14ac:dyDescent="0.35">
      <c r="A216" s="38" t="s">
        <v>522</v>
      </c>
      <c r="B216" s="46" t="s">
        <v>893</v>
      </c>
      <c r="C216" s="22" t="s">
        <v>523</v>
      </c>
      <c r="D216" s="75">
        <f t="shared" si="45"/>
        <v>45893</v>
      </c>
      <c r="E216" s="75" t="s">
        <v>667</v>
      </c>
      <c r="F216" s="74">
        <f t="shared" si="46"/>
        <v>46258</v>
      </c>
      <c r="G216" s="228"/>
      <c r="H216" s="19">
        <v>4.4800000000000004</v>
      </c>
      <c r="I216" s="71" t="s">
        <v>19</v>
      </c>
      <c r="J216" s="2" t="s">
        <v>4</v>
      </c>
      <c r="K216" s="2" t="s">
        <v>749</v>
      </c>
      <c r="L216" s="2" t="s">
        <v>513</v>
      </c>
      <c r="M216" s="67">
        <v>0.45</v>
      </c>
      <c r="N216" s="67"/>
      <c r="O216" s="87" t="s">
        <v>928</v>
      </c>
      <c r="P216" s="137" t="s">
        <v>929</v>
      </c>
      <c r="Q216" s="46" t="s">
        <v>1019</v>
      </c>
      <c r="R216" t="b">
        <f t="shared" si="44"/>
        <v>0</v>
      </c>
      <c r="S216" t="b">
        <f t="shared" si="47"/>
        <v>1</v>
      </c>
      <c r="T216" t="b">
        <f t="shared" si="48"/>
        <v>1</v>
      </c>
      <c r="U216" s="46" t="s">
        <v>893</v>
      </c>
      <c r="V216" s="225" t="str">
        <f t="shared" si="49"/>
        <v>UAESUK 4.48 24/08/2028</v>
      </c>
      <c r="W216" s="67">
        <f t="shared" si="56"/>
        <v>1.1250000000000001E-2</v>
      </c>
      <c r="X216" s="151">
        <f t="shared" si="50"/>
        <v>2250.0000000000005</v>
      </c>
      <c r="Y216" s="152">
        <f ca="1">((Main!$C$4-D216)*(200000*(H216/100))/360)*0.025</f>
        <v>110.75555555555557</v>
      </c>
      <c r="Z216" s="152">
        <f t="shared" ca="1" si="51"/>
        <v>2360.7555555555559</v>
      </c>
      <c r="AA216" s="153">
        <f t="shared" ca="1" si="52"/>
        <v>8669.8747777777789</v>
      </c>
      <c r="AC216" s="67">
        <f t="shared" si="57"/>
        <v>1.1596500000000001E-2</v>
      </c>
      <c r="AD216" s="151">
        <f t="shared" si="53"/>
        <v>2319.3000000000002</v>
      </c>
      <c r="AE216">
        <f ca="1">((Main!$C$4-D216)*(200000*(H216/100))/360)*0.02577</f>
        <v>114.16682666666668</v>
      </c>
      <c r="AF216" s="152">
        <f t="shared" ca="1" si="54"/>
        <v>2433.4668266666667</v>
      </c>
      <c r="AG216" s="153">
        <f t="shared" ca="1" si="55"/>
        <v>8936.9069209333338</v>
      </c>
    </row>
    <row r="217" spans="1:33" ht="12.75" customHeight="1" x14ac:dyDescent="0.35">
      <c r="A217" s="38" t="s">
        <v>524</v>
      </c>
      <c r="B217" s="46" t="s">
        <v>894</v>
      </c>
      <c r="C217" s="22" t="s">
        <v>525</v>
      </c>
      <c r="D217" s="75">
        <f t="shared" si="45"/>
        <v>45984</v>
      </c>
      <c r="E217" s="75" t="s">
        <v>672</v>
      </c>
      <c r="F217" s="74">
        <f t="shared" si="46"/>
        <v>46349</v>
      </c>
      <c r="G217" s="228"/>
      <c r="H217" s="19">
        <v>4.57</v>
      </c>
      <c r="I217" s="71" t="s">
        <v>19</v>
      </c>
      <c r="J217" s="2" t="s">
        <v>4</v>
      </c>
      <c r="K217" s="2" t="s">
        <v>749</v>
      </c>
      <c r="L217" s="2" t="s">
        <v>513</v>
      </c>
      <c r="M217" s="67">
        <v>0.45</v>
      </c>
      <c r="N217" s="67"/>
      <c r="O217" s="87" t="s">
        <v>928</v>
      </c>
      <c r="P217" s="137" t="s">
        <v>929</v>
      </c>
      <c r="Q217" s="46" t="s">
        <v>1019</v>
      </c>
      <c r="R217" t="b">
        <f t="shared" si="44"/>
        <v>0</v>
      </c>
      <c r="S217" t="b">
        <f t="shared" si="47"/>
        <v>1</v>
      </c>
      <c r="T217" t="b">
        <f t="shared" si="48"/>
        <v>1</v>
      </c>
      <c r="U217" s="46" t="s">
        <v>894</v>
      </c>
      <c r="V217" s="225" t="str">
        <f t="shared" si="49"/>
        <v>UAESUK 4.57 23/05/2027</v>
      </c>
      <c r="W217" s="67">
        <f t="shared" si="56"/>
        <v>1.1250000000000001E-2</v>
      </c>
      <c r="X217" s="151">
        <f t="shared" si="50"/>
        <v>2250.0000000000005</v>
      </c>
      <c r="Y217" s="152">
        <f ca="1">((Main!$C$4-D217)*(200000*(H217/100))/360)*0.025</f>
        <v>55.220833333333339</v>
      </c>
      <c r="Z217" s="152">
        <f t="shared" ca="1" si="51"/>
        <v>2305.2208333333338</v>
      </c>
      <c r="AA217" s="153">
        <f t="shared" ca="1" si="52"/>
        <v>8465.9235104166673</v>
      </c>
      <c r="AC217" s="67">
        <f t="shared" si="57"/>
        <v>1.1596500000000001E-2</v>
      </c>
      <c r="AD217" s="151">
        <f t="shared" si="53"/>
        <v>2319.3000000000002</v>
      </c>
      <c r="AE217">
        <f ca="1">((Main!$C$4-D217)*(200000*(H217/100))/360)*0.02577</f>
        <v>56.921635000000009</v>
      </c>
      <c r="AF217" s="152">
        <f t="shared" ca="1" si="54"/>
        <v>2376.2216350000003</v>
      </c>
      <c r="AG217" s="153">
        <f t="shared" ca="1" si="55"/>
        <v>8726.6739545375003</v>
      </c>
    </row>
    <row r="218" spans="1:33" ht="12.75" customHeight="1" x14ac:dyDescent="0.35">
      <c r="A218" s="38" t="s">
        <v>506</v>
      </c>
      <c r="B218" s="46" t="s">
        <v>505</v>
      </c>
      <c r="C218" s="22" t="s">
        <v>507</v>
      </c>
      <c r="D218" s="75">
        <f t="shared" si="45"/>
        <v>45960</v>
      </c>
      <c r="E218" s="75" t="s">
        <v>562</v>
      </c>
      <c r="F218" s="74">
        <f t="shared" si="46"/>
        <v>46325</v>
      </c>
      <c r="G218" s="228"/>
      <c r="H218" s="19">
        <v>6.5</v>
      </c>
      <c r="I218" s="71" t="s">
        <v>19</v>
      </c>
      <c r="J218" s="2" t="s">
        <v>6</v>
      </c>
      <c r="K218" s="2" t="s">
        <v>734</v>
      </c>
      <c r="L218" s="64" t="s">
        <v>508</v>
      </c>
      <c r="M218" s="67">
        <v>1</v>
      </c>
      <c r="N218" s="67"/>
      <c r="O218" s="87" t="s">
        <v>939</v>
      </c>
      <c r="P218" s="137" t="s">
        <v>940</v>
      </c>
      <c r="Q218" s="46" t="s">
        <v>505</v>
      </c>
      <c r="R218" t="b">
        <f t="shared" si="44"/>
        <v>1</v>
      </c>
      <c r="S218" t="b">
        <f t="shared" si="47"/>
        <v>1</v>
      </c>
      <c r="T218" t="b">
        <f t="shared" si="48"/>
        <v>1</v>
      </c>
      <c r="U218" s="46" t="s">
        <v>505</v>
      </c>
      <c r="V218" s="225" t="str">
        <f t="shared" si="49"/>
        <v>TURKTI 6.5 30/10/30</v>
      </c>
      <c r="W218" s="67">
        <f t="shared" si="56"/>
        <v>2.5000000000000001E-2</v>
      </c>
      <c r="X218" s="151">
        <f t="shared" si="50"/>
        <v>5000</v>
      </c>
      <c r="Y218" s="152">
        <f ca="1">((Main!$C$4-D218)*(200000*(H218/100))/360)*0.025</f>
        <v>100.20833333333334</v>
      </c>
      <c r="Z218" s="152">
        <f t="shared" ca="1" si="51"/>
        <v>5100.208333333333</v>
      </c>
      <c r="AA218" s="153">
        <f t="shared" ca="1" si="52"/>
        <v>18730.515104166665</v>
      </c>
      <c r="AC218" s="67">
        <f t="shared" si="57"/>
        <v>2.5770000000000001E-2</v>
      </c>
      <c r="AD218" s="151">
        <f t="shared" si="53"/>
        <v>5154</v>
      </c>
      <c r="AE218">
        <f ca="1">((Main!$C$4-D218)*(200000*(H218/100))/360)*0.02577</f>
        <v>103.29475000000001</v>
      </c>
      <c r="AF218" s="152">
        <f t="shared" ca="1" si="54"/>
        <v>5257.29475</v>
      </c>
      <c r="AG218" s="153">
        <f t="shared" ca="1" si="55"/>
        <v>19307.414969375001</v>
      </c>
    </row>
    <row r="219" spans="1:33" ht="12.75" customHeight="1" x14ac:dyDescent="0.35">
      <c r="A219" s="38" t="s">
        <v>509</v>
      </c>
      <c r="B219" s="46" t="s">
        <v>14</v>
      </c>
      <c r="C219" s="22" t="s">
        <v>510</v>
      </c>
      <c r="D219" s="75">
        <f t="shared" si="45"/>
        <v>46045</v>
      </c>
      <c r="E219" s="75" t="s">
        <v>635</v>
      </c>
      <c r="F219" s="74">
        <f t="shared" si="46"/>
        <v>46410</v>
      </c>
      <c r="G219" s="228"/>
      <c r="H219" s="19">
        <v>6.95</v>
      </c>
      <c r="I219" s="71" t="s">
        <v>19</v>
      </c>
      <c r="J219" s="2" t="s">
        <v>4</v>
      </c>
      <c r="K219" s="2" t="s">
        <v>749</v>
      </c>
      <c r="L219" s="2" t="s">
        <v>5</v>
      </c>
      <c r="M219" s="67">
        <v>0.45</v>
      </c>
      <c r="N219" s="67"/>
      <c r="O219" s="87" t="s">
        <v>928</v>
      </c>
      <c r="P219" s="137" t="s">
        <v>929</v>
      </c>
      <c r="Q219" s="46" t="s">
        <v>14</v>
      </c>
      <c r="R219" t="b">
        <f t="shared" ref="R219:R224" si="58">Q219=B219</f>
        <v>1</v>
      </c>
      <c r="S219" t="b">
        <f t="shared" si="47"/>
        <v>1</v>
      </c>
      <c r="T219" t="b">
        <f t="shared" si="48"/>
        <v>1</v>
      </c>
      <c r="U219" s="46" t="s">
        <v>14</v>
      </c>
      <c r="V219" s="225" t="str">
        <f t="shared" si="49"/>
        <v>TURKWF 6.95 23/01/2030</v>
      </c>
      <c r="W219" s="67">
        <f t="shared" si="56"/>
        <v>1.1250000000000001E-2</v>
      </c>
      <c r="X219" s="151">
        <f t="shared" si="50"/>
        <v>2250.0000000000005</v>
      </c>
      <c r="Y219" s="152">
        <f ca="1">((Main!$C$4-D219)*(200000*(H219/100))/360)*0.025</f>
        <v>25.097222222222229</v>
      </c>
      <c r="Z219" s="152">
        <f t="shared" ca="1" si="51"/>
        <v>2275.0972222222226</v>
      </c>
      <c r="AA219" s="153">
        <f t="shared" ca="1" si="52"/>
        <v>8355.294548611113</v>
      </c>
      <c r="AC219" s="67">
        <f t="shared" si="57"/>
        <v>1.1596500000000001E-2</v>
      </c>
      <c r="AD219" s="151">
        <f t="shared" si="53"/>
        <v>2319.3000000000002</v>
      </c>
      <c r="AE219">
        <f ca="1">((Main!$C$4-D219)*(200000*(H219/100))/360)*0.02577</f>
        <v>25.870216666666671</v>
      </c>
      <c r="AF219" s="152">
        <f t="shared" ca="1" si="54"/>
        <v>2345.1702166666669</v>
      </c>
      <c r="AG219" s="153">
        <f t="shared" ca="1" si="55"/>
        <v>8612.637620708334</v>
      </c>
    </row>
    <row r="220" spans="1:33" ht="12.75" customHeight="1" x14ac:dyDescent="0.35">
      <c r="A220" s="38" t="s">
        <v>527</v>
      </c>
      <c r="B220" s="46" t="s">
        <v>526</v>
      </c>
      <c r="C220" s="22" t="s">
        <v>528</v>
      </c>
      <c r="D220" s="75">
        <f t="shared" si="45"/>
        <v>45944</v>
      </c>
      <c r="E220" s="75" t="s">
        <v>673</v>
      </c>
      <c r="F220" s="74">
        <f t="shared" si="46"/>
        <v>46309</v>
      </c>
      <c r="G220" s="228"/>
      <c r="H220" s="19">
        <v>8.375</v>
      </c>
      <c r="I220" s="71" t="s">
        <v>19</v>
      </c>
      <c r="J220" s="2" t="s">
        <v>11</v>
      </c>
      <c r="K220" s="2" t="s">
        <v>751</v>
      </c>
      <c r="L220" s="2" t="s">
        <v>12</v>
      </c>
      <c r="M220" s="67">
        <v>1</v>
      </c>
      <c r="N220" s="67"/>
      <c r="O220" s="87" t="s">
        <v>937</v>
      </c>
      <c r="P220" s="141" t="s">
        <v>936</v>
      </c>
      <c r="Q220" s="46" t="s">
        <v>526</v>
      </c>
      <c r="R220" t="b">
        <f t="shared" si="58"/>
        <v>1</v>
      </c>
      <c r="S220" t="b">
        <f t="shared" si="47"/>
        <v>1</v>
      </c>
      <c r="T220" t="b">
        <f t="shared" si="48"/>
        <v>1</v>
      </c>
      <c r="U220" s="46" t="s">
        <v>526</v>
      </c>
      <c r="V220" s="225" t="str">
        <f t="shared" si="49"/>
        <v>VAKIFK 8.375 PERP CORP</v>
      </c>
      <c r="W220" s="67">
        <f t="shared" si="56"/>
        <v>2.5000000000000001E-2</v>
      </c>
      <c r="X220" s="151">
        <f t="shared" si="50"/>
        <v>5000</v>
      </c>
      <c r="Y220" s="152">
        <f ca="1">((Main!$C$4-D220)*(200000*(H220/100))/360)*0.025</f>
        <v>147.72569444444443</v>
      </c>
      <c r="Z220" s="152">
        <f t="shared" ca="1" si="51"/>
        <v>5147.7256944444443</v>
      </c>
      <c r="AA220" s="153">
        <f t="shared" ca="1" si="52"/>
        <v>18905.02261284722</v>
      </c>
      <c r="AC220" s="67">
        <f t="shared" si="57"/>
        <v>2.5770000000000001E-2</v>
      </c>
      <c r="AD220" s="151">
        <f t="shared" si="53"/>
        <v>5154</v>
      </c>
      <c r="AE220">
        <f ca="1">((Main!$C$4-D220)*(200000*(H220/100))/360)*0.02577</f>
        <v>152.27564583333333</v>
      </c>
      <c r="AF220" s="152">
        <f t="shared" ca="1" si="54"/>
        <v>5306.2756458333333</v>
      </c>
      <c r="AG220" s="153">
        <f t="shared" ca="1" si="55"/>
        <v>19487.297309322916</v>
      </c>
    </row>
    <row r="221" spans="1:33" ht="12.75" customHeight="1" x14ac:dyDescent="0.35">
      <c r="A221" s="38" t="s">
        <v>531</v>
      </c>
      <c r="B221" s="46" t="s">
        <v>895</v>
      </c>
      <c r="C221" s="22" t="s">
        <v>532</v>
      </c>
      <c r="D221" s="75">
        <f t="shared" si="45"/>
        <v>46032</v>
      </c>
      <c r="E221" s="75" t="s">
        <v>612</v>
      </c>
      <c r="F221" s="74">
        <f t="shared" si="46"/>
        <v>46397</v>
      </c>
      <c r="G221" s="228"/>
      <c r="H221" s="19">
        <v>5.351</v>
      </c>
      <c r="I221" s="71" t="s">
        <v>19</v>
      </c>
      <c r="J221" s="73" t="s">
        <v>54</v>
      </c>
      <c r="K221" s="2" t="s">
        <v>759</v>
      </c>
      <c r="L221" s="48" t="s">
        <v>533</v>
      </c>
      <c r="M221" s="67">
        <v>0.45</v>
      </c>
      <c r="N221" s="67"/>
      <c r="O221" s="87" t="s">
        <v>946</v>
      </c>
      <c r="P221" s="137" t="s">
        <v>947</v>
      </c>
      <c r="Q221" s="46" t="s">
        <v>1020</v>
      </c>
      <c r="R221" t="b">
        <f t="shared" si="58"/>
        <v>0</v>
      </c>
      <c r="S221" t="b">
        <f t="shared" si="47"/>
        <v>1</v>
      </c>
      <c r="T221" t="b">
        <f t="shared" si="48"/>
        <v>1</v>
      </c>
      <c r="U221" s="46" t="s">
        <v>895</v>
      </c>
      <c r="V221" s="225" t="str">
        <f t="shared" si="49"/>
        <v>WARBAB 5.351 07/10/29 EMTN</v>
      </c>
      <c r="W221" s="67">
        <f t="shared" si="56"/>
        <v>1.1250000000000001E-2</v>
      </c>
      <c r="X221" s="151">
        <f t="shared" si="50"/>
        <v>2250.0000000000005</v>
      </c>
      <c r="Y221" s="152">
        <f ca="1">((Main!$C$4-D221)*(200000*(H221/100))/360)*0.025</f>
        <v>28.984583333333337</v>
      </c>
      <c r="Z221" s="152">
        <f t="shared" ca="1" si="51"/>
        <v>2278.9845833333338</v>
      </c>
      <c r="AA221" s="153">
        <f t="shared" ca="1" si="52"/>
        <v>8369.5708822916677</v>
      </c>
      <c r="AC221" s="67">
        <f t="shared" si="57"/>
        <v>1.1596500000000001E-2</v>
      </c>
      <c r="AD221" s="151">
        <f t="shared" si="53"/>
        <v>2319.3000000000002</v>
      </c>
      <c r="AE221">
        <f ca="1">((Main!$C$4-D221)*(200000*(H221/100))/360)*0.02577</f>
        <v>29.877308500000005</v>
      </c>
      <c r="AF221" s="152">
        <f t="shared" ca="1" si="54"/>
        <v>2349.1773085</v>
      </c>
      <c r="AG221" s="153">
        <f t="shared" ca="1" si="55"/>
        <v>8627.3536654662494</v>
      </c>
    </row>
    <row r="222" spans="1:33" ht="12.75" customHeight="1" x14ac:dyDescent="0.35">
      <c r="A222" s="38" t="s">
        <v>529</v>
      </c>
      <c r="B222" s="46" t="s">
        <v>896</v>
      </c>
      <c r="C222" s="22" t="s">
        <v>530</v>
      </c>
      <c r="D222" s="75">
        <f t="shared" si="45"/>
        <v>45990</v>
      </c>
      <c r="E222" s="75" t="s">
        <v>583</v>
      </c>
      <c r="F222" s="74">
        <f t="shared" si="46"/>
        <v>46355</v>
      </c>
      <c r="G222" s="228"/>
      <c r="H222" s="19">
        <v>4</v>
      </c>
      <c r="I222" s="71" t="s">
        <v>19</v>
      </c>
      <c r="J222" s="2" t="s">
        <v>11</v>
      </c>
      <c r="K222" s="2" t="s">
        <v>751</v>
      </c>
      <c r="L222" s="2" t="s">
        <v>12</v>
      </c>
      <c r="M222" s="67">
        <v>1</v>
      </c>
      <c r="N222" s="67"/>
      <c r="O222" s="87" t="s">
        <v>937</v>
      </c>
      <c r="P222" s="141" t="s">
        <v>936</v>
      </c>
      <c r="Q222" s="46" t="s">
        <v>1020</v>
      </c>
      <c r="R222" t="b">
        <f t="shared" si="58"/>
        <v>0</v>
      </c>
      <c r="S222" t="b">
        <f t="shared" si="47"/>
        <v>1</v>
      </c>
      <c r="T222" t="b">
        <f t="shared" si="48"/>
        <v>1</v>
      </c>
      <c r="U222" s="46" t="s">
        <v>896</v>
      </c>
      <c r="V222" s="225" t="str">
        <f t="shared" si="49"/>
        <v>WARBAB 4 PERP Corp</v>
      </c>
      <c r="W222" s="67">
        <f t="shared" si="56"/>
        <v>2.5000000000000001E-2</v>
      </c>
      <c r="X222" s="151">
        <f t="shared" si="50"/>
        <v>5000</v>
      </c>
      <c r="Y222" s="152">
        <f ca="1">((Main!$C$4-D222)*(200000*(H222/100))/360)*0.025</f>
        <v>45</v>
      </c>
      <c r="Z222" s="152">
        <f t="shared" ca="1" si="51"/>
        <v>5045</v>
      </c>
      <c r="AA222" s="153">
        <f t="shared" ca="1" si="52"/>
        <v>18527.762500000001</v>
      </c>
      <c r="AC222" s="67">
        <f t="shared" si="57"/>
        <v>2.5770000000000001E-2</v>
      </c>
      <c r="AD222" s="151">
        <f t="shared" si="53"/>
        <v>5154</v>
      </c>
      <c r="AE222">
        <f ca="1">((Main!$C$4-D222)*(200000*(H222/100))/360)*0.02577</f>
        <v>46.386000000000003</v>
      </c>
      <c r="AF222" s="152">
        <f t="shared" ca="1" si="54"/>
        <v>5200.3860000000004</v>
      </c>
      <c r="AG222" s="153">
        <f t="shared" ca="1" si="55"/>
        <v>19098.417584999999</v>
      </c>
    </row>
    <row r="223" spans="1:33" ht="12.75" customHeight="1" x14ac:dyDescent="0.35">
      <c r="A223" s="38" t="s">
        <v>534</v>
      </c>
      <c r="B223" s="46" t="s">
        <v>897</v>
      </c>
      <c r="C223" s="22" t="s">
        <v>535</v>
      </c>
      <c r="D223" s="75">
        <f t="shared" si="45"/>
        <v>45981</v>
      </c>
      <c r="E223" s="75" t="s">
        <v>614</v>
      </c>
      <c r="F223" s="74">
        <f t="shared" si="46"/>
        <v>46346</v>
      </c>
      <c r="G223" s="228"/>
      <c r="H223" s="19">
        <v>6.25</v>
      </c>
      <c r="I223" s="71" t="s">
        <v>19</v>
      </c>
      <c r="J223" s="2" t="s">
        <v>11</v>
      </c>
      <c r="K223" s="2" t="s">
        <v>751</v>
      </c>
      <c r="L223" s="2" t="s">
        <v>12</v>
      </c>
      <c r="M223" s="67">
        <v>1</v>
      </c>
      <c r="N223" s="67"/>
      <c r="O223" s="87" t="s">
        <v>937</v>
      </c>
      <c r="P223" s="141" t="s">
        <v>936</v>
      </c>
      <c r="Q223" s="46" t="s">
        <v>1020</v>
      </c>
      <c r="R223" t="b">
        <f t="shared" si="58"/>
        <v>0</v>
      </c>
      <c r="S223" t="b">
        <f t="shared" si="47"/>
        <v>1</v>
      </c>
      <c r="T223" t="b">
        <f t="shared" si="48"/>
        <v>1</v>
      </c>
      <c r="U223" s="46" t="s">
        <v>897</v>
      </c>
      <c r="V223" s="225" t="str">
        <f t="shared" si="49"/>
        <v>WARBAB 6.25 PERP CORP</v>
      </c>
      <c r="W223" s="67">
        <f t="shared" si="56"/>
        <v>2.5000000000000001E-2</v>
      </c>
      <c r="X223" s="151">
        <f t="shared" si="50"/>
        <v>5000</v>
      </c>
      <c r="Y223" s="152">
        <f ca="1">((Main!$C$4-D223)*(200000*(H223/100))/360)*0.025</f>
        <v>78.125</v>
      </c>
      <c r="Z223" s="152">
        <f t="shared" ca="1" si="51"/>
        <v>5078.125</v>
      </c>
      <c r="AA223" s="153">
        <f t="shared" ca="1" si="52"/>
        <v>18649.4140625</v>
      </c>
      <c r="AC223" s="67">
        <f t="shared" si="57"/>
        <v>2.5770000000000001E-2</v>
      </c>
      <c r="AD223" s="151">
        <f t="shared" si="53"/>
        <v>5154</v>
      </c>
      <c r="AE223">
        <f ca="1">((Main!$C$4-D223)*(200000*(H223/100))/360)*0.02577</f>
        <v>80.53125</v>
      </c>
      <c r="AF223" s="152">
        <f t="shared" ca="1" si="54"/>
        <v>5234.53125</v>
      </c>
      <c r="AG223" s="153">
        <f t="shared" ca="1" si="55"/>
        <v>19223.816015624998</v>
      </c>
    </row>
    <row r="224" spans="1:33" ht="12.75" customHeight="1" thickBot="1" x14ac:dyDescent="0.4">
      <c r="A224" s="54" t="s">
        <v>489</v>
      </c>
      <c r="B224" s="53" t="s">
        <v>488</v>
      </c>
      <c r="C224" s="28" t="s">
        <v>490</v>
      </c>
      <c r="D224" s="75">
        <f t="shared" si="45"/>
        <v>45973</v>
      </c>
      <c r="E224" s="75" t="s">
        <v>611</v>
      </c>
      <c r="F224" s="74">
        <f t="shared" si="46"/>
        <v>46338</v>
      </c>
      <c r="G224" s="228"/>
      <c r="H224" s="19">
        <v>9.375</v>
      </c>
      <c r="I224" s="71" t="s">
        <v>19</v>
      </c>
      <c r="J224" s="81" t="s">
        <v>54</v>
      </c>
      <c r="K224" s="2" t="s">
        <v>759</v>
      </c>
      <c r="L224" s="82" t="s">
        <v>338</v>
      </c>
      <c r="M224" s="67">
        <v>0.45</v>
      </c>
      <c r="N224" s="103"/>
      <c r="O224" s="87" t="s">
        <v>946</v>
      </c>
      <c r="P224" s="137" t="s">
        <v>947</v>
      </c>
      <c r="Q224" s="53" t="s">
        <v>488</v>
      </c>
      <c r="R224" t="b">
        <f t="shared" si="58"/>
        <v>1</v>
      </c>
      <c r="S224" t="b">
        <f t="shared" si="47"/>
        <v>1</v>
      </c>
      <c r="T224" t="b">
        <f t="shared" si="48"/>
        <v>1</v>
      </c>
      <c r="U224" s="53" t="s">
        <v>488</v>
      </c>
      <c r="V224" s="225" t="str">
        <f t="shared" si="49"/>
        <v>TCZIRA 9.375 12/11/2026</v>
      </c>
      <c r="W224" s="67">
        <f t="shared" si="56"/>
        <v>1.1250000000000001E-2</v>
      </c>
      <c r="X224" s="151">
        <f t="shared" si="50"/>
        <v>2250.0000000000005</v>
      </c>
      <c r="Y224" s="152">
        <f ca="1">((Main!$C$4-D224)*(200000*(H224/100))/360)*0.025</f>
        <v>127.60416666666669</v>
      </c>
      <c r="Z224" s="152">
        <f t="shared" ca="1" si="51"/>
        <v>2377.604166666667</v>
      </c>
      <c r="AA224" s="153">
        <f t="shared" ca="1" si="52"/>
        <v>8731.7513020833339</v>
      </c>
      <c r="AC224" s="67">
        <f t="shared" si="57"/>
        <v>1.1596500000000001E-2</v>
      </c>
      <c r="AD224" s="151">
        <f t="shared" si="53"/>
        <v>2319.3000000000002</v>
      </c>
      <c r="AE224">
        <f ca="1">((Main!$C$4-D224)*(200000*(H224/100))/360)*0.02577</f>
        <v>131.53437500000001</v>
      </c>
      <c r="AF224" s="152">
        <f t="shared" ca="1" si="54"/>
        <v>2450.8343750000004</v>
      </c>
      <c r="AG224" s="153">
        <f t="shared" ca="1" si="55"/>
        <v>9000.6892421875018</v>
      </c>
    </row>
    <row r="225" spans="1:26" ht="12.75" customHeight="1" x14ac:dyDescent="0.35"/>
    <row r="226" spans="1:26" x14ac:dyDescent="0.35">
      <c r="Y226" s="152" t="e">
        <f ca="1">Main!C48</f>
        <v>#N/A</v>
      </c>
    </row>
    <row r="227" spans="1:26" ht="15" thickBot="1" x14ac:dyDescent="0.4">
      <c r="Y227">
        <f>H195/100*200000/360</f>
        <v>23.055555555555557</v>
      </c>
    </row>
    <row r="228" spans="1:26" ht="15" thickBot="1" x14ac:dyDescent="0.4">
      <c r="K228" t="s">
        <v>735</v>
      </c>
      <c r="L228" s="155" t="s">
        <v>64</v>
      </c>
    </row>
    <row r="229" spans="1:26" ht="15" thickBot="1" x14ac:dyDescent="0.4">
      <c r="L229" s="156" t="s">
        <v>15</v>
      </c>
      <c r="X229">
        <f>200000*0.49</f>
        <v>98000</v>
      </c>
      <c r="Y229" t="e">
        <f ca="1">Y227*Y226</f>
        <v>#N/A</v>
      </c>
    </row>
    <row r="230" spans="1:26" ht="15" thickBot="1" x14ac:dyDescent="0.4">
      <c r="A230">
        <f>4+5/8</f>
        <v>4.625</v>
      </c>
      <c r="L230" s="156" t="s">
        <v>45</v>
      </c>
      <c r="X230">
        <f>X229*0.025</f>
        <v>2450</v>
      </c>
      <c r="Y230" t="e">
        <f ca="1">Y229*0.025</f>
        <v>#N/A</v>
      </c>
      <c r="Z230" t="e">
        <f ca="1">Y230+X230</f>
        <v>#N/A</v>
      </c>
    </row>
    <row r="231" spans="1:26" x14ac:dyDescent="0.35">
      <c r="K231" t="s">
        <v>740</v>
      </c>
      <c r="X231" s="153" t="e">
        <f>Main!C62</f>
        <v>#N/A</v>
      </c>
      <c r="Z231" t="e">
        <f ca="1">Main!C69</f>
        <v>#N/A</v>
      </c>
    </row>
    <row r="234" spans="1:26" x14ac:dyDescent="0.35">
      <c r="K234" s="2" t="s">
        <v>759</v>
      </c>
    </row>
  </sheetData>
  <sheetProtection algorithmName="SHA-512" hashValue="ZiAo7JniS2Bc41XaSFiJ/Wk/K9/i+OXG8Q9XIDyQlGfDUezRh6uT66NH1GKB/b8f69jM9uhO9cVmiHXj/uitmw==" saltValue="fh4TaQ/EezglhR8Q/8s8kA==" spinCount="100000" sheet="1" selectLockedCells="1" selectUnlockedCells="1"/>
  <autoFilter ref="S3:S224" xr:uid="{0F1CF7C7-3E23-4752-80BB-237B6ACBEC6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F5F5-BA91-4DAA-8823-63A5660F4E1F}">
  <dimension ref="A1:E224"/>
  <sheetViews>
    <sheetView workbookViewId="0">
      <selection activeCell="G14" sqref="G14:H14"/>
    </sheetView>
  </sheetViews>
  <sheetFormatPr defaultColWidth="6.90625" defaultRowHeight="14.5" x14ac:dyDescent="0.35"/>
  <cols>
    <col min="1" max="1" width="32.6328125" customWidth="1"/>
    <col min="2" max="2" width="27.54296875" customWidth="1"/>
    <col min="3" max="3" width="14.453125" customWidth="1"/>
    <col min="4" max="4" width="7.453125" bestFit="1" customWidth="1"/>
    <col min="5" max="5" width="16.90625" customWidth="1"/>
  </cols>
  <sheetData>
    <row r="1" spans="1:5" ht="12.75" customHeight="1" thickBot="1" x14ac:dyDescent="0.4">
      <c r="A1" s="18" t="s">
        <v>0</v>
      </c>
      <c r="B1" s="18" t="s">
        <v>544</v>
      </c>
      <c r="C1" s="18" t="s">
        <v>27</v>
      </c>
      <c r="D1" s="18" t="s">
        <v>729</v>
      </c>
      <c r="E1" s="18" t="s">
        <v>974</v>
      </c>
    </row>
    <row r="2" spans="1:5" x14ac:dyDescent="0.35">
      <c r="A2" s="230" t="s">
        <v>969</v>
      </c>
      <c r="B2" s="231" t="s">
        <v>28</v>
      </c>
      <c r="C2" s="232" t="s">
        <v>29</v>
      </c>
      <c r="D2" s="232">
        <v>5.6950000000000003</v>
      </c>
      <c r="E2" s="233"/>
    </row>
    <row r="3" spans="1:5" ht="12.75" customHeight="1" x14ac:dyDescent="0.35">
      <c r="A3" s="234" t="s">
        <v>969</v>
      </c>
      <c r="B3" s="235" t="s">
        <v>30</v>
      </c>
      <c r="C3" s="236" t="s">
        <v>31</v>
      </c>
      <c r="D3" s="232">
        <v>7.25</v>
      </c>
      <c r="E3" s="233"/>
    </row>
    <row r="4" spans="1:5" ht="12.75" customHeight="1" x14ac:dyDescent="0.35">
      <c r="A4" s="234" t="s">
        <v>32</v>
      </c>
      <c r="B4" s="235" t="s">
        <v>33</v>
      </c>
      <c r="C4" s="236" t="s">
        <v>34</v>
      </c>
      <c r="D4" s="232">
        <v>4.75</v>
      </c>
      <c r="E4" s="233"/>
    </row>
    <row r="5" spans="1:5" ht="12.75" customHeight="1" x14ac:dyDescent="0.35">
      <c r="A5" s="234" t="s">
        <v>35</v>
      </c>
      <c r="B5" s="235" t="s">
        <v>36</v>
      </c>
      <c r="C5" s="236" t="s">
        <v>37</v>
      </c>
      <c r="D5" s="232">
        <v>4.5</v>
      </c>
      <c r="E5" s="233"/>
    </row>
    <row r="6" spans="1:5" ht="12.75" customHeight="1" x14ac:dyDescent="0.35">
      <c r="A6" s="234" t="s">
        <v>39</v>
      </c>
      <c r="B6" s="235" t="s">
        <v>40</v>
      </c>
      <c r="C6" s="236" t="s">
        <v>41</v>
      </c>
      <c r="D6" s="232">
        <v>3.875</v>
      </c>
      <c r="E6" s="233"/>
    </row>
    <row r="7" spans="1:5" ht="12.75" customHeight="1" x14ac:dyDescent="0.35">
      <c r="A7" s="234" t="s">
        <v>98</v>
      </c>
      <c r="B7" s="235" t="s">
        <v>99</v>
      </c>
      <c r="C7" s="236" t="s">
        <v>100</v>
      </c>
      <c r="D7" s="232">
        <v>2.6150000000000002</v>
      </c>
      <c r="E7" s="233"/>
    </row>
    <row r="8" spans="1:5" ht="106.5" customHeight="1" x14ac:dyDescent="0.35">
      <c r="A8" s="234" t="s">
        <v>49</v>
      </c>
      <c r="B8" s="235" t="s">
        <v>50</v>
      </c>
      <c r="C8" s="236" t="s">
        <v>51</v>
      </c>
      <c r="D8" s="232">
        <v>5.85</v>
      </c>
      <c r="E8" s="233"/>
    </row>
    <row r="9" spans="1:5" x14ac:dyDescent="0.35">
      <c r="A9" s="234" t="s">
        <v>42</v>
      </c>
      <c r="B9" s="235" t="s">
        <v>43</v>
      </c>
      <c r="C9" s="236" t="s">
        <v>44</v>
      </c>
      <c r="D9" s="232">
        <v>5.125</v>
      </c>
      <c r="E9" s="237"/>
    </row>
    <row r="10" spans="1:5" ht="12.75" customHeight="1" x14ac:dyDescent="0.35">
      <c r="A10" s="234" t="s">
        <v>13</v>
      </c>
      <c r="B10" s="235" t="s">
        <v>105</v>
      </c>
      <c r="C10" s="236" t="s">
        <v>106</v>
      </c>
      <c r="D10" s="232">
        <v>8.7750000000000004</v>
      </c>
      <c r="E10" s="237"/>
    </row>
    <row r="11" spans="1:5" ht="12.75" customHeight="1" x14ac:dyDescent="0.35">
      <c r="A11" s="234" t="s">
        <v>976</v>
      </c>
      <c r="B11" s="235" t="s">
        <v>426</v>
      </c>
      <c r="C11" s="236" t="s">
        <v>427</v>
      </c>
      <c r="D11" s="232">
        <v>6.25</v>
      </c>
      <c r="E11" s="237"/>
    </row>
    <row r="12" spans="1:5" ht="12.75" customHeight="1" x14ac:dyDescent="0.35">
      <c r="A12" s="234" t="s">
        <v>977</v>
      </c>
      <c r="B12" s="235" t="s">
        <v>422</v>
      </c>
      <c r="C12" s="236" t="s">
        <v>423</v>
      </c>
      <c r="D12" s="232">
        <v>4.8650000000000002</v>
      </c>
      <c r="E12" s="233"/>
    </row>
    <row r="13" spans="1:5" ht="12.75" customHeight="1" x14ac:dyDescent="0.35">
      <c r="A13" s="234" t="s">
        <v>977</v>
      </c>
      <c r="B13" s="235" t="s">
        <v>428</v>
      </c>
      <c r="C13" s="236" t="s">
        <v>429</v>
      </c>
      <c r="D13" s="232">
        <v>6.375</v>
      </c>
      <c r="E13" s="233"/>
    </row>
    <row r="14" spans="1:5" ht="12.75" customHeight="1" x14ac:dyDescent="0.35">
      <c r="A14" s="234" t="s">
        <v>977</v>
      </c>
      <c r="B14" s="235" t="s">
        <v>424</v>
      </c>
      <c r="C14" s="236" t="s">
        <v>425</v>
      </c>
      <c r="D14" s="232">
        <v>5.0469999999999997</v>
      </c>
      <c r="E14" s="233"/>
    </row>
    <row r="15" spans="1:5" ht="12.75" customHeight="1" x14ac:dyDescent="0.35">
      <c r="A15" s="234" t="s">
        <v>978</v>
      </c>
      <c r="B15" s="235" t="s">
        <v>52</v>
      </c>
      <c r="C15" s="236" t="s">
        <v>53</v>
      </c>
      <c r="D15" s="232">
        <f>4+7/8</f>
        <v>4.875</v>
      </c>
      <c r="E15" s="233"/>
    </row>
    <row r="16" spans="1:5" ht="12.75" customHeight="1" x14ac:dyDescent="0.35">
      <c r="A16" s="234" t="s">
        <v>978</v>
      </c>
      <c r="B16" s="235" t="s">
        <v>56</v>
      </c>
      <c r="C16" s="236" t="s">
        <v>57</v>
      </c>
      <c r="D16" s="232">
        <v>5.25</v>
      </c>
      <c r="E16" s="233"/>
    </row>
    <row r="17" spans="1:5" ht="12.75" customHeight="1" x14ac:dyDescent="0.35">
      <c r="A17" s="234" t="s">
        <v>978</v>
      </c>
      <c r="B17" s="235" t="s">
        <v>58</v>
      </c>
      <c r="C17" s="236" t="s">
        <v>59</v>
      </c>
      <c r="D17" s="232">
        <v>5.5</v>
      </c>
      <c r="E17" s="233"/>
    </row>
    <row r="18" spans="1:5" ht="12.75" customHeight="1" x14ac:dyDescent="0.35">
      <c r="A18" s="234" t="s">
        <v>978</v>
      </c>
      <c r="B18" s="235" t="s">
        <v>60</v>
      </c>
      <c r="C18" s="236" t="s">
        <v>61</v>
      </c>
      <c r="D18" s="232">
        <v>3.875</v>
      </c>
      <c r="E18" s="233"/>
    </row>
    <row r="19" spans="1:5" ht="12.75" customHeight="1" x14ac:dyDescent="0.35">
      <c r="A19" s="234" t="s">
        <v>979</v>
      </c>
      <c r="B19" s="235" t="s">
        <v>62</v>
      </c>
      <c r="C19" s="236" t="s">
        <v>63</v>
      </c>
      <c r="D19" s="232">
        <v>4.9370000000000003</v>
      </c>
      <c r="E19" s="233"/>
    </row>
    <row r="20" spans="1:5" ht="12.75" customHeight="1" x14ac:dyDescent="0.35">
      <c r="A20" s="234" t="s">
        <v>979</v>
      </c>
      <c r="B20" s="235" t="s">
        <v>65</v>
      </c>
      <c r="C20" s="236" t="s">
        <v>66</v>
      </c>
      <c r="D20" s="232">
        <v>6.25</v>
      </c>
      <c r="E20" s="233"/>
    </row>
    <row r="21" spans="1:5" ht="12.75" customHeight="1" x14ac:dyDescent="0.35">
      <c r="A21" s="234" t="s">
        <v>979</v>
      </c>
      <c r="B21" s="238" t="s">
        <v>67</v>
      </c>
      <c r="C21" s="239" t="s">
        <v>68</v>
      </c>
      <c r="D21" s="232">
        <v>6.5</v>
      </c>
      <c r="E21" s="233"/>
    </row>
    <row r="22" spans="1:5" ht="12.75" customHeight="1" x14ac:dyDescent="0.35">
      <c r="A22" s="234" t="s">
        <v>979</v>
      </c>
      <c r="B22" s="235" t="s">
        <v>69</v>
      </c>
      <c r="C22" s="236" t="s">
        <v>70</v>
      </c>
      <c r="D22" s="232">
        <v>6.5</v>
      </c>
      <c r="E22" s="233"/>
    </row>
    <row r="23" spans="1:5" ht="12.75" customHeight="1" x14ac:dyDescent="0.35">
      <c r="A23" s="234" t="s">
        <v>980</v>
      </c>
      <c r="B23" s="235" t="s">
        <v>71</v>
      </c>
      <c r="C23" s="236" t="s">
        <v>72</v>
      </c>
      <c r="D23" s="232">
        <v>4.45</v>
      </c>
      <c r="E23" s="233"/>
    </row>
    <row r="24" spans="1:5" ht="12.75" customHeight="1" x14ac:dyDescent="0.35">
      <c r="A24" s="234" t="s">
        <v>980</v>
      </c>
      <c r="B24" s="235" t="s">
        <v>73</v>
      </c>
      <c r="C24" s="236" t="s">
        <v>74</v>
      </c>
      <c r="D24" s="232">
        <v>5.2329999999999997</v>
      </c>
      <c r="E24" s="233"/>
    </row>
    <row r="25" spans="1:5" ht="12.75" customHeight="1" x14ac:dyDescent="0.35">
      <c r="A25" s="234" t="s">
        <v>981</v>
      </c>
      <c r="B25" s="235" t="s">
        <v>75</v>
      </c>
      <c r="C25" s="236" t="s">
        <v>76</v>
      </c>
      <c r="D25" s="232">
        <v>8.875</v>
      </c>
      <c r="E25" s="233"/>
    </row>
    <row r="26" spans="1:5" ht="12.75" customHeight="1" x14ac:dyDescent="0.35">
      <c r="A26" s="234" t="s">
        <v>981</v>
      </c>
      <c r="B26" s="235" t="s">
        <v>77</v>
      </c>
      <c r="C26" s="236" t="s">
        <v>78</v>
      </c>
      <c r="D26" s="232">
        <v>9.5</v>
      </c>
      <c r="E26" s="233"/>
    </row>
    <row r="27" spans="1:5" ht="12.75" customHeight="1" x14ac:dyDescent="0.35">
      <c r="A27" s="234" t="s">
        <v>982</v>
      </c>
      <c r="B27" s="235" t="s">
        <v>79</v>
      </c>
      <c r="C27" s="236" t="s">
        <v>80</v>
      </c>
      <c r="D27" s="232">
        <v>7.15</v>
      </c>
      <c r="E27" s="233"/>
    </row>
    <row r="28" spans="1:5" ht="12.75" customHeight="1" x14ac:dyDescent="0.35">
      <c r="A28" s="234" t="s">
        <v>982</v>
      </c>
      <c r="B28" s="235" t="s">
        <v>81</v>
      </c>
      <c r="C28" s="236" t="s">
        <v>82</v>
      </c>
      <c r="D28" s="232">
        <v>8</v>
      </c>
      <c r="E28" s="233"/>
    </row>
    <row r="29" spans="1:5" ht="12.75" customHeight="1" x14ac:dyDescent="0.35">
      <c r="A29" s="234" t="s">
        <v>982</v>
      </c>
      <c r="B29" s="235" t="s">
        <v>83</v>
      </c>
      <c r="C29" s="236" t="s">
        <v>84</v>
      </c>
      <c r="D29" s="232">
        <v>8.125</v>
      </c>
      <c r="E29" s="233"/>
    </row>
    <row r="30" spans="1:5" ht="12.75" customHeight="1" x14ac:dyDescent="0.35">
      <c r="A30" s="234" t="s">
        <v>101</v>
      </c>
      <c r="B30" s="235" t="s">
        <v>102</v>
      </c>
      <c r="C30" s="236" t="s">
        <v>103</v>
      </c>
      <c r="D30" s="232">
        <v>4.375</v>
      </c>
      <c r="E30" s="233"/>
    </row>
    <row r="31" spans="1:5" ht="12.75" customHeight="1" x14ac:dyDescent="0.35">
      <c r="A31" s="234" t="s">
        <v>369</v>
      </c>
      <c r="B31" s="235" t="s">
        <v>370</v>
      </c>
      <c r="C31" s="236" t="s">
        <v>371</v>
      </c>
      <c r="D31" s="232">
        <v>4.0999999999999996</v>
      </c>
      <c r="E31" s="233"/>
    </row>
    <row r="32" spans="1:5" ht="12.75" customHeight="1" x14ac:dyDescent="0.35">
      <c r="A32" s="240" t="s">
        <v>46</v>
      </c>
      <c r="B32" s="235" t="s">
        <v>47</v>
      </c>
      <c r="C32" s="236" t="s">
        <v>48</v>
      </c>
      <c r="D32" s="232">
        <v>6.5</v>
      </c>
      <c r="E32" s="233"/>
    </row>
    <row r="33" spans="1:5" ht="12.75" customHeight="1" x14ac:dyDescent="0.35">
      <c r="A33" s="234" t="s">
        <v>983</v>
      </c>
      <c r="B33" s="235" t="s">
        <v>308</v>
      </c>
      <c r="C33" s="236" t="s">
        <v>309</v>
      </c>
      <c r="D33" s="232">
        <v>3.95</v>
      </c>
      <c r="E33" s="233"/>
    </row>
    <row r="34" spans="1:5" ht="12.75" customHeight="1" x14ac:dyDescent="0.35">
      <c r="A34" s="234" t="s">
        <v>983</v>
      </c>
      <c r="B34" s="235" t="s">
        <v>310</v>
      </c>
      <c r="C34" s="236" t="s">
        <v>311</v>
      </c>
      <c r="D34" s="232">
        <v>6.5</v>
      </c>
      <c r="E34" s="233"/>
    </row>
    <row r="35" spans="1:5" ht="12.75" customHeight="1" x14ac:dyDescent="0.35">
      <c r="A35" s="234" t="s">
        <v>984</v>
      </c>
      <c r="B35" s="235" t="s">
        <v>140</v>
      </c>
      <c r="C35" s="236" t="s">
        <v>141</v>
      </c>
      <c r="D35" s="232">
        <v>4.75</v>
      </c>
      <c r="E35" s="233"/>
    </row>
    <row r="36" spans="1:5" ht="12.75" customHeight="1" x14ac:dyDescent="0.35">
      <c r="A36" s="234" t="s">
        <v>984</v>
      </c>
      <c r="B36" s="235" t="s">
        <v>142</v>
      </c>
      <c r="C36" s="236" t="s">
        <v>143</v>
      </c>
      <c r="D36" s="232">
        <v>5</v>
      </c>
      <c r="E36" s="233"/>
    </row>
    <row r="37" spans="1:5" ht="12.75" customHeight="1" x14ac:dyDescent="0.35">
      <c r="A37" s="234" t="s">
        <v>984</v>
      </c>
      <c r="B37" s="235" t="s">
        <v>144</v>
      </c>
      <c r="C37" s="236" t="s">
        <v>145</v>
      </c>
      <c r="D37" s="232">
        <v>5.375</v>
      </c>
      <c r="E37" s="233"/>
    </row>
    <row r="38" spans="1:5" ht="12.75" customHeight="1" x14ac:dyDescent="0.35">
      <c r="A38" s="234" t="s">
        <v>107</v>
      </c>
      <c r="B38" s="235" t="s">
        <v>108</v>
      </c>
      <c r="C38" s="236" t="s">
        <v>109</v>
      </c>
      <c r="D38" s="232">
        <v>6.25</v>
      </c>
      <c r="E38" s="233"/>
    </row>
    <row r="39" spans="1:5" ht="12.75" customHeight="1" x14ac:dyDescent="0.35">
      <c r="A39" s="234" t="s">
        <v>985</v>
      </c>
      <c r="B39" s="235" t="s">
        <v>129</v>
      </c>
      <c r="C39" s="236" t="s">
        <v>130</v>
      </c>
      <c r="D39" s="232">
        <v>8.125</v>
      </c>
      <c r="E39" s="233"/>
    </row>
    <row r="40" spans="1:5" ht="12.75" customHeight="1" x14ac:dyDescent="0.35">
      <c r="A40" s="234" t="s">
        <v>985</v>
      </c>
      <c r="B40" s="235" t="s">
        <v>131</v>
      </c>
      <c r="C40" s="236" t="s">
        <v>132</v>
      </c>
      <c r="D40" s="232">
        <v>9.625</v>
      </c>
      <c r="E40" s="233"/>
    </row>
    <row r="41" spans="1:5" ht="12.75" customHeight="1" x14ac:dyDescent="0.35">
      <c r="A41" s="234" t="s">
        <v>986</v>
      </c>
      <c r="B41" s="235" t="s">
        <v>133</v>
      </c>
      <c r="C41" s="236" t="s">
        <v>134</v>
      </c>
      <c r="D41" s="232">
        <v>3.95</v>
      </c>
      <c r="E41" s="233"/>
    </row>
    <row r="42" spans="1:5" ht="12.75" customHeight="1" x14ac:dyDescent="0.35">
      <c r="A42" s="234" t="s">
        <v>986</v>
      </c>
      <c r="B42" s="235" t="s">
        <v>135</v>
      </c>
      <c r="C42" s="236" t="s">
        <v>136</v>
      </c>
      <c r="D42" s="232">
        <v>3.3889999999999998</v>
      </c>
      <c r="E42" s="233"/>
    </row>
    <row r="43" spans="1:5" ht="12.75" customHeight="1" x14ac:dyDescent="0.35">
      <c r="A43" s="234" t="s">
        <v>986</v>
      </c>
      <c r="B43" s="235" t="s">
        <v>138</v>
      </c>
      <c r="C43" s="236" t="s">
        <v>139</v>
      </c>
      <c r="D43" s="232">
        <v>4.9729999999999999</v>
      </c>
      <c r="E43" s="233"/>
    </row>
    <row r="44" spans="1:5" ht="12.75" customHeight="1" x14ac:dyDescent="0.35">
      <c r="A44" s="234" t="s">
        <v>987</v>
      </c>
      <c r="B44" s="235" t="s">
        <v>146</v>
      </c>
      <c r="C44" s="236" t="s">
        <v>147</v>
      </c>
      <c r="D44" s="232">
        <v>7</v>
      </c>
      <c r="E44" s="233"/>
    </row>
    <row r="45" spans="1:5" ht="12.75" customHeight="1" x14ac:dyDescent="0.35">
      <c r="A45" s="234" t="s">
        <v>987</v>
      </c>
      <c r="B45" s="235" t="s">
        <v>148</v>
      </c>
      <c r="C45" s="236" t="s">
        <v>149</v>
      </c>
      <c r="D45" s="232">
        <v>7.75</v>
      </c>
      <c r="E45" s="233"/>
    </row>
    <row r="46" spans="1:5" ht="12.75" customHeight="1" x14ac:dyDescent="0.35">
      <c r="A46" s="234" t="s">
        <v>987</v>
      </c>
      <c r="B46" s="235" t="s">
        <v>150</v>
      </c>
      <c r="C46" s="236" t="s">
        <v>151</v>
      </c>
      <c r="D46" s="232">
        <v>8.375</v>
      </c>
      <c r="E46" s="233"/>
    </row>
    <row r="47" spans="1:5" ht="12.75" customHeight="1" x14ac:dyDescent="0.35">
      <c r="A47" s="234" t="s">
        <v>988</v>
      </c>
      <c r="B47" s="235" t="s">
        <v>152</v>
      </c>
      <c r="C47" s="236" t="s">
        <v>153</v>
      </c>
      <c r="D47" s="232">
        <v>7.25</v>
      </c>
      <c r="E47" s="233"/>
    </row>
    <row r="48" spans="1:5" ht="12.75" customHeight="1" x14ac:dyDescent="0.35">
      <c r="A48" s="234" t="s">
        <v>988</v>
      </c>
      <c r="B48" s="235" t="s">
        <v>154</v>
      </c>
      <c r="C48" s="236" t="s">
        <v>155</v>
      </c>
      <c r="D48" s="232">
        <v>7.75</v>
      </c>
      <c r="E48" s="233"/>
    </row>
    <row r="49" spans="1:5" ht="12.75" customHeight="1" x14ac:dyDescent="0.35">
      <c r="A49" s="234" t="s">
        <v>988</v>
      </c>
      <c r="B49" s="235" t="s">
        <v>156</v>
      </c>
      <c r="C49" s="236" t="s">
        <v>157</v>
      </c>
      <c r="D49" s="232">
        <v>8</v>
      </c>
      <c r="E49" s="233"/>
    </row>
    <row r="50" spans="1:5" ht="12.75" customHeight="1" x14ac:dyDescent="0.35">
      <c r="A50" s="234" t="s">
        <v>989</v>
      </c>
      <c r="B50" s="235" t="s">
        <v>183</v>
      </c>
      <c r="C50" s="236" t="s">
        <v>184</v>
      </c>
      <c r="D50" s="232">
        <v>5.5</v>
      </c>
      <c r="E50" s="233"/>
    </row>
    <row r="51" spans="1:5" ht="12.75" customHeight="1" x14ac:dyDescent="0.35">
      <c r="A51" s="234" t="s">
        <v>989</v>
      </c>
      <c r="B51" s="235" t="s">
        <v>185</v>
      </c>
      <c r="C51" s="236" t="s">
        <v>186</v>
      </c>
      <c r="D51" s="232">
        <v>5.5</v>
      </c>
      <c r="E51" s="233"/>
    </row>
    <row r="52" spans="1:5" ht="12.75" customHeight="1" x14ac:dyDescent="0.35">
      <c r="A52" s="234" t="s">
        <v>989</v>
      </c>
      <c r="B52" s="235" t="s">
        <v>176</v>
      </c>
      <c r="C52" s="236" t="s">
        <v>177</v>
      </c>
      <c r="D52" s="232">
        <v>3.7494999999999998</v>
      </c>
      <c r="E52" s="233"/>
    </row>
    <row r="53" spans="1:5" ht="27.5" customHeight="1" x14ac:dyDescent="0.35">
      <c r="A53" s="234" t="s">
        <v>989</v>
      </c>
      <c r="B53" s="235" t="s">
        <v>179</v>
      </c>
      <c r="C53" s="236" t="s">
        <v>180</v>
      </c>
      <c r="D53" s="232">
        <v>3.875</v>
      </c>
      <c r="E53" s="233"/>
    </row>
    <row r="54" spans="1:5" x14ac:dyDescent="0.35">
      <c r="A54" s="234" t="s">
        <v>989</v>
      </c>
      <c r="B54" s="235" t="s">
        <v>181</v>
      </c>
      <c r="C54" s="236" t="s">
        <v>182</v>
      </c>
      <c r="D54" s="232">
        <v>4.8479999999999999</v>
      </c>
      <c r="E54" s="233"/>
    </row>
    <row r="55" spans="1:5" ht="29" x14ac:dyDescent="0.35">
      <c r="A55" s="234" t="s">
        <v>187</v>
      </c>
      <c r="B55" s="235" t="s">
        <v>188</v>
      </c>
      <c r="C55" s="236" t="s">
        <v>189</v>
      </c>
      <c r="D55" s="232">
        <v>4.5</v>
      </c>
      <c r="E55" s="233"/>
    </row>
    <row r="56" spans="1:5" ht="12.75" customHeight="1" x14ac:dyDescent="0.35">
      <c r="A56" s="234" t="s">
        <v>990</v>
      </c>
      <c r="B56" s="235" t="s">
        <v>158</v>
      </c>
      <c r="C56" s="236" t="s">
        <v>159</v>
      </c>
      <c r="D56" s="232">
        <v>4.8</v>
      </c>
      <c r="E56" s="233"/>
    </row>
    <row r="57" spans="1:5" ht="12.75" customHeight="1" x14ac:dyDescent="0.35">
      <c r="A57" s="234" t="s">
        <v>990</v>
      </c>
      <c r="B57" s="235" t="s">
        <v>160</v>
      </c>
      <c r="C57" s="236" t="s">
        <v>161</v>
      </c>
      <c r="D57" s="232">
        <v>1.9590000000000001</v>
      </c>
      <c r="E57" s="233"/>
    </row>
    <row r="58" spans="1:5" ht="12.75" customHeight="1" x14ac:dyDescent="0.35">
      <c r="A58" s="234" t="s">
        <v>990</v>
      </c>
      <c r="B58" s="235" t="s">
        <v>162</v>
      </c>
      <c r="C58" s="236" t="s">
        <v>163</v>
      </c>
      <c r="D58" s="232">
        <v>2.74</v>
      </c>
      <c r="E58" s="233"/>
    </row>
    <row r="59" spans="1:5" ht="12.75" customHeight="1" x14ac:dyDescent="0.35">
      <c r="A59" s="234" t="s">
        <v>990</v>
      </c>
      <c r="B59" s="235" t="s">
        <v>164</v>
      </c>
      <c r="C59" s="236" t="s">
        <v>165</v>
      </c>
      <c r="D59" s="232">
        <v>3.375</v>
      </c>
      <c r="E59" s="233"/>
    </row>
    <row r="60" spans="1:5" ht="12.75" customHeight="1" x14ac:dyDescent="0.35">
      <c r="A60" s="234" t="s">
        <v>990</v>
      </c>
      <c r="B60" s="235" t="s">
        <v>166</v>
      </c>
      <c r="C60" s="236" t="s">
        <v>167</v>
      </c>
      <c r="D60" s="232">
        <v>4.5720000000000001</v>
      </c>
      <c r="E60" s="233"/>
    </row>
    <row r="61" spans="1:5" ht="12.75" customHeight="1" x14ac:dyDescent="0.35">
      <c r="A61" s="234" t="s">
        <v>990</v>
      </c>
      <c r="B61" s="235" t="s">
        <v>170</v>
      </c>
      <c r="C61" s="236" t="s">
        <v>171</v>
      </c>
      <c r="D61" s="232">
        <v>5.2430000000000003</v>
      </c>
      <c r="E61" s="233"/>
    </row>
    <row r="62" spans="1:5" ht="12.75" customHeight="1" x14ac:dyDescent="0.35">
      <c r="A62" s="234" t="s">
        <v>990</v>
      </c>
      <c r="B62" s="235" t="s">
        <v>168</v>
      </c>
      <c r="C62" s="236" t="s">
        <v>169</v>
      </c>
      <c r="D62" s="232">
        <v>4.625</v>
      </c>
      <c r="E62" s="233"/>
    </row>
    <row r="63" spans="1:5" ht="12.75" customHeight="1" x14ac:dyDescent="0.35">
      <c r="A63" s="234" t="s">
        <v>990</v>
      </c>
      <c r="B63" s="235" t="s">
        <v>172</v>
      </c>
      <c r="C63" s="236" t="s">
        <v>173</v>
      </c>
      <c r="D63" s="232">
        <v>5.25</v>
      </c>
      <c r="E63" s="233"/>
    </row>
    <row r="64" spans="1:5" ht="12.75" customHeight="1" x14ac:dyDescent="0.35">
      <c r="A64" s="234" t="s">
        <v>990</v>
      </c>
      <c r="B64" s="235" t="s">
        <v>174</v>
      </c>
      <c r="C64" s="236" t="s">
        <v>175</v>
      </c>
      <c r="D64" s="232">
        <v>5.4930000000000003</v>
      </c>
      <c r="E64" s="233"/>
    </row>
    <row r="65" spans="1:5" ht="12.75" customHeight="1" x14ac:dyDescent="0.35">
      <c r="A65" s="234" t="s">
        <v>991</v>
      </c>
      <c r="B65" s="235" t="s">
        <v>196</v>
      </c>
      <c r="C65" s="236" t="s">
        <v>197</v>
      </c>
      <c r="D65" s="232">
        <v>4.5599999999999996</v>
      </c>
      <c r="E65" s="233"/>
    </row>
    <row r="66" spans="1:5" ht="12.75" customHeight="1" x14ac:dyDescent="0.35">
      <c r="A66" s="234" t="s">
        <v>991</v>
      </c>
      <c r="B66" s="235" t="s">
        <v>194</v>
      </c>
      <c r="C66" s="236" t="s">
        <v>195</v>
      </c>
      <c r="D66" s="232">
        <v>3.95</v>
      </c>
      <c r="E66" s="233"/>
    </row>
    <row r="67" spans="1:5" ht="12.75" customHeight="1" x14ac:dyDescent="0.35">
      <c r="A67" s="234" t="s">
        <v>198</v>
      </c>
      <c r="B67" s="235" t="s">
        <v>199</v>
      </c>
      <c r="C67" s="236" t="s">
        <v>200</v>
      </c>
      <c r="D67" s="232">
        <v>5.875</v>
      </c>
      <c r="E67" s="233"/>
    </row>
    <row r="68" spans="1:5" ht="12.75" customHeight="1" x14ac:dyDescent="0.35">
      <c r="A68" s="234" t="s">
        <v>710</v>
      </c>
      <c r="B68" s="235" t="s">
        <v>220</v>
      </c>
      <c r="C68" s="236" t="s">
        <v>221</v>
      </c>
      <c r="D68" s="232">
        <f>3+7/8</f>
        <v>3.875</v>
      </c>
      <c r="E68" s="233"/>
    </row>
    <row r="69" spans="1:5" ht="12.75" customHeight="1" x14ac:dyDescent="0.35">
      <c r="A69" s="234" t="s">
        <v>711</v>
      </c>
      <c r="B69" s="235" t="s">
        <v>222</v>
      </c>
      <c r="C69" s="236" t="s">
        <v>223</v>
      </c>
      <c r="D69" s="241">
        <v>3.7</v>
      </c>
      <c r="E69" s="233"/>
    </row>
    <row r="70" spans="1:5" ht="12.75" customHeight="1" x14ac:dyDescent="0.35">
      <c r="A70" s="234" t="s">
        <v>712</v>
      </c>
      <c r="B70" s="235" t="s">
        <v>224</v>
      </c>
      <c r="C70" s="236" t="s">
        <v>225</v>
      </c>
      <c r="D70" s="232">
        <v>3.6349999999999998</v>
      </c>
      <c r="E70" s="233"/>
    </row>
    <row r="71" spans="1:5" ht="12.75" customHeight="1" x14ac:dyDescent="0.35">
      <c r="A71" s="234" t="s">
        <v>226</v>
      </c>
      <c r="B71" s="235" t="s">
        <v>227</v>
      </c>
      <c r="C71" s="236" t="s">
        <v>228</v>
      </c>
      <c r="D71" s="232">
        <v>4.5</v>
      </c>
      <c r="E71" s="233"/>
    </row>
    <row r="72" spans="1:5" ht="12.75" customHeight="1" x14ac:dyDescent="0.35">
      <c r="A72" s="234" t="s">
        <v>992</v>
      </c>
      <c r="B72" s="235" t="s">
        <v>210</v>
      </c>
      <c r="C72" s="236" t="s">
        <v>211</v>
      </c>
      <c r="D72" s="232">
        <v>5.431</v>
      </c>
      <c r="E72" s="233"/>
    </row>
    <row r="73" spans="1:5" ht="12.75" customHeight="1" x14ac:dyDescent="0.35">
      <c r="A73" s="234" t="s">
        <v>992</v>
      </c>
      <c r="B73" s="235" t="s">
        <v>212</v>
      </c>
      <c r="C73" s="236" t="s">
        <v>213</v>
      </c>
      <c r="D73" s="232">
        <v>2.0819999999999999</v>
      </c>
      <c r="E73" s="233"/>
    </row>
    <row r="74" spans="1:5" ht="12.75" customHeight="1" x14ac:dyDescent="0.35">
      <c r="A74" s="234" t="s">
        <v>992</v>
      </c>
      <c r="B74" s="235" t="s">
        <v>214</v>
      </c>
      <c r="C74" s="236" t="s">
        <v>215</v>
      </c>
      <c r="D74" s="232">
        <v>4.54</v>
      </c>
      <c r="E74" s="233"/>
    </row>
    <row r="75" spans="1:5" ht="12.75" customHeight="1" x14ac:dyDescent="0.35">
      <c r="A75" s="234" t="s">
        <v>992</v>
      </c>
      <c r="B75" s="235" t="s">
        <v>216</v>
      </c>
      <c r="C75" s="236" t="s">
        <v>217</v>
      </c>
      <c r="D75" s="232">
        <v>5.0590000000000002</v>
      </c>
      <c r="E75" s="233"/>
    </row>
    <row r="76" spans="1:5" ht="12.75" customHeight="1" x14ac:dyDescent="0.35">
      <c r="A76" s="234" t="s">
        <v>992</v>
      </c>
      <c r="B76" s="235" t="s">
        <v>218</v>
      </c>
      <c r="C76" s="236" t="s">
        <v>219</v>
      </c>
      <c r="D76" s="232">
        <v>5.05</v>
      </c>
      <c r="E76" s="233"/>
    </row>
    <row r="77" spans="1:5" ht="12.75" customHeight="1" x14ac:dyDescent="0.35">
      <c r="A77" s="234" t="s">
        <v>234</v>
      </c>
      <c r="B77" s="235" t="s">
        <v>235</v>
      </c>
      <c r="C77" s="236" t="s">
        <v>236</v>
      </c>
      <c r="D77" s="232">
        <v>5.8310000000000004</v>
      </c>
      <c r="E77" s="233"/>
    </row>
    <row r="78" spans="1:5" ht="12.75" customHeight="1" x14ac:dyDescent="0.35">
      <c r="A78" s="234" t="s">
        <v>230</v>
      </c>
      <c r="B78" s="235" t="s">
        <v>231</v>
      </c>
      <c r="C78" s="236" t="s">
        <v>232</v>
      </c>
      <c r="D78" s="232">
        <v>5</v>
      </c>
      <c r="E78" s="233"/>
    </row>
    <row r="79" spans="1:5" ht="12.75" customHeight="1" x14ac:dyDescent="0.35">
      <c r="A79" s="234" t="s">
        <v>993</v>
      </c>
      <c r="B79" s="235" t="s">
        <v>237</v>
      </c>
      <c r="C79" s="236" t="s">
        <v>238</v>
      </c>
      <c r="D79" s="232">
        <v>4.5810000000000004</v>
      </c>
      <c r="E79" s="233"/>
    </row>
    <row r="80" spans="1:5" ht="12.75" customHeight="1" x14ac:dyDescent="0.35">
      <c r="A80" s="234" t="s">
        <v>993</v>
      </c>
      <c r="B80" s="235" t="s">
        <v>239</v>
      </c>
      <c r="C80" s="236" t="s">
        <v>240</v>
      </c>
      <c r="D80" s="232">
        <v>4.7789999999999999</v>
      </c>
      <c r="E80" s="233"/>
    </row>
    <row r="81" spans="1:5" ht="12.75" customHeight="1" x14ac:dyDescent="0.35">
      <c r="A81" s="234" t="s">
        <v>993</v>
      </c>
      <c r="B81" s="235" t="s">
        <v>241</v>
      </c>
      <c r="C81" s="236" t="s">
        <v>242</v>
      </c>
      <c r="D81" s="232">
        <v>5.1529999999999996</v>
      </c>
      <c r="E81" s="233"/>
    </row>
    <row r="82" spans="1:5" s="63" customFormat="1" ht="12.75" customHeight="1" x14ac:dyDescent="0.35">
      <c r="A82" s="234" t="s">
        <v>771</v>
      </c>
      <c r="B82" s="235" t="s">
        <v>243</v>
      </c>
      <c r="C82" s="236" t="s">
        <v>244</v>
      </c>
      <c r="D82" s="232">
        <v>7.5</v>
      </c>
      <c r="E82" s="233"/>
    </row>
    <row r="83" spans="1:5" ht="13" customHeight="1" x14ac:dyDescent="0.35">
      <c r="A83" s="242" t="s">
        <v>994</v>
      </c>
      <c r="B83" s="243" t="s">
        <v>190</v>
      </c>
      <c r="C83" s="244" t="s">
        <v>191</v>
      </c>
      <c r="D83" s="245">
        <v>5</v>
      </c>
      <c r="E83" s="233"/>
    </row>
    <row r="84" spans="1:5" ht="12.75" customHeight="1" x14ac:dyDescent="0.35">
      <c r="A84" s="234" t="s">
        <v>994</v>
      </c>
      <c r="B84" s="235" t="s">
        <v>192</v>
      </c>
      <c r="C84" s="236" t="s">
        <v>193</v>
      </c>
      <c r="D84" s="232">
        <v>2.7629999999999999</v>
      </c>
      <c r="E84" s="233"/>
    </row>
    <row r="85" spans="1:5" ht="12.75" customHeight="1" x14ac:dyDescent="0.35">
      <c r="A85" s="234" t="s">
        <v>245</v>
      </c>
      <c r="B85" s="235" t="s">
        <v>246</v>
      </c>
      <c r="C85" s="236" t="s">
        <v>247</v>
      </c>
      <c r="D85" s="232">
        <v>3.1320000000000001</v>
      </c>
      <c r="E85" s="233"/>
    </row>
    <row r="86" spans="1:5" ht="12.75" customHeight="1" x14ac:dyDescent="0.35">
      <c r="A86" s="234" t="s">
        <v>249</v>
      </c>
      <c r="B86" s="235" t="s">
        <v>250</v>
      </c>
      <c r="C86" s="236" t="s">
        <v>251</v>
      </c>
      <c r="D86" s="232">
        <v>5</v>
      </c>
      <c r="E86" s="233"/>
    </row>
    <row r="87" spans="1:5" ht="12.75" customHeight="1" x14ac:dyDescent="0.35">
      <c r="A87" s="234" t="s">
        <v>16</v>
      </c>
      <c r="B87" s="235" t="s">
        <v>404</v>
      </c>
      <c r="C87" s="236" t="s">
        <v>405</v>
      </c>
      <c r="D87" s="232">
        <v>7.95</v>
      </c>
      <c r="E87" s="233"/>
    </row>
    <row r="88" spans="1:5" ht="12.75" customHeight="1" x14ac:dyDescent="0.35">
      <c r="A88" s="234" t="s">
        <v>304</v>
      </c>
      <c r="B88" s="235" t="s">
        <v>305</v>
      </c>
      <c r="C88" s="236" t="s">
        <v>306</v>
      </c>
      <c r="D88" s="232">
        <v>7.375</v>
      </c>
      <c r="E88" s="233"/>
    </row>
    <row r="89" spans="1:5" ht="12.75" customHeight="1" x14ac:dyDescent="0.35">
      <c r="A89" s="234" t="s">
        <v>995</v>
      </c>
      <c r="B89" s="235" t="s">
        <v>111</v>
      </c>
      <c r="C89" s="236" t="s">
        <v>112</v>
      </c>
      <c r="D89" s="232">
        <v>3.875</v>
      </c>
      <c r="E89" s="233"/>
    </row>
    <row r="90" spans="1:5" ht="12.75" customHeight="1" x14ac:dyDescent="0.35">
      <c r="A90" s="234" t="s">
        <v>995</v>
      </c>
      <c r="B90" s="235" t="s">
        <v>113</v>
      </c>
      <c r="C90" s="236" t="s">
        <v>114</v>
      </c>
      <c r="D90" s="232">
        <v>3.95</v>
      </c>
      <c r="E90" s="233"/>
    </row>
    <row r="91" spans="1:5" ht="12.75" customHeight="1" x14ac:dyDescent="0.35">
      <c r="A91" s="234" t="s">
        <v>995</v>
      </c>
      <c r="B91" s="235" t="s">
        <v>115</v>
      </c>
      <c r="C91" s="236" t="s">
        <v>116</v>
      </c>
      <c r="D91" s="232">
        <v>4.5</v>
      </c>
      <c r="E91" s="233"/>
    </row>
    <row r="92" spans="1:5" ht="12.75" customHeight="1" x14ac:dyDescent="0.35">
      <c r="A92" s="234" t="s">
        <v>995</v>
      </c>
      <c r="B92" s="235" t="s">
        <v>117</v>
      </c>
      <c r="C92" s="236" t="s">
        <v>118</v>
      </c>
      <c r="D92" s="232">
        <v>5.875</v>
      </c>
      <c r="E92" s="233"/>
    </row>
    <row r="93" spans="1:5" ht="12.75" customHeight="1" x14ac:dyDescent="0.35">
      <c r="A93" s="234" t="s">
        <v>995</v>
      </c>
      <c r="B93" s="235" t="s">
        <v>119</v>
      </c>
      <c r="C93" s="236" t="s">
        <v>120</v>
      </c>
      <c r="D93" s="232">
        <v>6</v>
      </c>
      <c r="E93" s="233"/>
    </row>
    <row r="94" spans="1:5" ht="12.75" customHeight="1" x14ac:dyDescent="0.35">
      <c r="A94" s="234" t="s">
        <v>995</v>
      </c>
      <c r="B94" s="235" t="s">
        <v>121</v>
      </c>
      <c r="C94" s="236" t="s">
        <v>122</v>
      </c>
      <c r="D94" s="232">
        <v>6.25</v>
      </c>
      <c r="E94" s="233"/>
    </row>
    <row r="95" spans="1:5" ht="12.75" customHeight="1" x14ac:dyDescent="0.35">
      <c r="A95" s="234" t="s">
        <v>995</v>
      </c>
      <c r="B95" s="235" t="s">
        <v>123</v>
      </c>
      <c r="C95" s="236" t="s">
        <v>124</v>
      </c>
      <c r="D95" s="232">
        <v>6.25</v>
      </c>
      <c r="E95" s="233"/>
    </row>
    <row r="96" spans="1:5" ht="12.75" customHeight="1" x14ac:dyDescent="0.35">
      <c r="A96" s="234" t="s">
        <v>995</v>
      </c>
      <c r="B96" s="235" t="s">
        <v>125</v>
      </c>
      <c r="C96" s="236" t="s">
        <v>126</v>
      </c>
      <c r="D96" s="232">
        <v>5.875</v>
      </c>
      <c r="E96" s="233"/>
    </row>
    <row r="97" spans="1:5" ht="12.75" customHeight="1" x14ac:dyDescent="0.35">
      <c r="A97" s="234" t="s">
        <v>995</v>
      </c>
      <c r="B97" s="235" t="s">
        <v>127</v>
      </c>
      <c r="C97" s="236" t="s">
        <v>128</v>
      </c>
      <c r="D97" s="232">
        <v>7.75</v>
      </c>
      <c r="E97" s="233"/>
    </row>
    <row r="98" spans="1:5" ht="12.75" customHeight="1" x14ac:dyDescent="0.35">
      <c r="A98" s="234" t="s">
        <v>319</v>
      </c>
      <c r="B98" s="235" t="s">
        <v>320</v>
      </c>
      <c r="C98" s="236" t="s">
        <v>321</v>
      </c>
      <c r="D98" s="232">
        <v>5.0110000000000001</v>
      </c>
      <c r="E98" s="233"/>
    </row>
    <row r="99" spans="1:5" ht="12.75" customHeight="1" x14ac:dyDescent="0.35">
      <c r="A99" s="234" t="s">
        <v>996</v>
      </c>
      <c r="B99" s="235" t="s">
        <v>312</v>
      </c>
      <c r="C99" s="236" t="s">
        <v>313</v>
      </c>
      <c r="D99" s="232">
        <v>3.6</v>
      </c>
      <c r="E99" s="233"/>
    </row>
    <row r="100" spans="1:5" ht="12.75" customHeight="1" x14ac:dyDescent="0.35">
      <c r="A100" s="234" t="s">
        <v>996</v>
      </c>
      <c r="B100" s="235" t="s">
        <v>314</v>
      </c>
      <c r="C100" s="236" t="s">
        <v>315</v>
      </c>
      <c r="D100" s="232">
        <v>5.3760000000000003</v>
      </c>
      <c r="E100" s="233"/>
    </row>
    <row r="101" spans="1:5" ht="12.75" customHeight="1" x14ac:dyDescent="0.35">
      <c r="A101" s="234" t="s">
        <v>996</v>
      </c>
      <c r="B101" s="235" t="s">
        <v>316</v>
      </c>
      <c r="C101" s="236" t="s">
        <v>317</v>
      </c>
      <c r="D101" s="232">
        <v>6.25</v>
      </c>
      <c r="E101" s="233"/>
    </row>
    <row r="102" spans="1:5" ht="12.75" customHeight="1" x14ac:dyDescent="0.35">
      <c r="A102" s="234" t="s">
        <v>996</v>
      </c>
      <c r="B102" s="235" t="s">
        <v>322</v>
      </c>
      <c r="C102" s="236" t="s">
        <v>323</v>
      </c>
      <c r="D102" s="232">
        <v>6.125</v>
      </c>
      <c r="E102" s="233"/>
    </row>
    <row r="103" spans="1:5" ht="12.75" customHeight="1" x14ac:dyDescent="0.35">
      <c r="A103" s="234" t="s">
        <v>787</v>
      </c>
      <c r="B103" s="235" t="s">
        <v>324</v>
      </c>
      <c r="C103" s="236" t="s">
        <v>325</v>
      </c>
      <c r="D103" s="232">
        <v>6.625</v>
      </c>
      <c r="E103" s="233"/>
    </row>
    <row r="104" spans="1:5" ht="12.75" customHeight="1" x14ac:dyDescent="0.35">
      <c r="A104" s="234" t="s">
        <v>997</v>
      </c>
      <c r="B104" s="235" t="s">
        <v>341</v>
      </c>
      <c r="C104" s="236" t="s">
        <v>342</v>
      </c>
      <c r="D104" s="232">
        <v>3.9325000000000001</v>
      </c>
      <c r="E104" s="233"/>
    </row>
    <row r="105" spans="1:5" ht="12.75" customHeight="1" x14ac:dyDescent="0.35">
      <c r="A105" s="234" t="s">
        <v>997</v>
      </c>
      <c r="B105" s="235" t="s">
        <v>344</v>
      </c>
      <c r="C105" s="236" t="s">
        <v>345</v>
      </c>
      <c r="D105" s="232">
        <v>4.6379999999999999</v>
      </c>
      <c r="E105" s="233"/>
    </row>
    <row r="106" spans="1:5" ht="12.75" customHeight="1" x14ac:dyDescent="0.35">
      <c r="A106" s="234" t="s">
        <v>997</v>
      </c>
      <c r="B106" s="235" t="s">
        <v>346</v>
      </c>
      <c r="C106" s="236" t="s">
        <v>347</v>
      </c>
      <c r="D106" s="232">
        <v>4.875</v>
      </c>
      <c r="E106" s="233"/>
    </row>
    <row r="107" spans="1:5" ht="12.75" customHeight="1" x14ac:dyDescent="0.35">
      <c r="A107" s="234" t="s">
        <v>997</v>
      </c>
      <c r="B107" s="235" t="s">
        <v>348</v>
      </c>
      <c r="C107" s="236" t="s">
        <v>349</v>
      </c>
      <c r="D107" s="232">
        <v>5</v>
      </c>
      <c r="E107" s="233"/>
    </row>
    <row r="108" spans="1:5" ht="12.75" customHeight="1" x14ac:dyDescent="0.35">
      <c r="A108" s="234" t="s">
        <v>792</v>
      </c>
      <c r="B108" s="235" t="s">
        <v>339</v>
      </c>
      <c r="C108" s="236" t="s">
        <v>340</v>
      </c>
      <c r="D108" s="232">
        <f>4+7/8</f>
        <v>4.875</v>
      </c>
      <c r="E108" s="233"/>
    </row>
    <row r="109" spans="1:5" ht="12.75" customHeight="1" x14ac:dyDescent="0.35">
      <c r="A109" s="234" t="s">
        <v>335</v>
      </c>
      <c r="B109" s="235" t="s">
        <v>336</v>
      </c>
      <c r="C109" s="236" t="s">
        <v>337</v>
      </c>
      <c r="D109" s="232">
        <v>5.03</v>
      </c>
      <c r="E109" s="233"/>
    </row>
    <row r="110" spans="1:5" ht="12.75" customHeight="1" x14ac:dyDescent="0.35">
      <c r="A110" s="234" t="s">
        <v>998</v>
      </c>
      <c r="B110" s="235" t="s">
        <v>355</v>
      </c>
      <c r="C110" s="236" t="s">
        <v>356</v>
      </c>
      <c r="D110" s="232">
        <v>5.2</v>
      </c>
      <c r="E110" s="233"/>
    </row>
    <row r="111" spans="1:5" ht="12.75" customHeight="1" x14ac:dyDescent="0.35">
      <c r="A111" s="234" t="s">
        <v>998</v>
      </c>
      <c r="B111" s="235" t="s">
        <v>358</v>
      </c>
      <c r="C111" s="236" t="s">
        <v>359</v>
      </c>
      <c r="D111" s="232">
        <v>5.25</v>
      </c>
      <c r="E111" s="233"/>
    </row>
    <row r="112" spans="1:5" ht="12.75" customHeight="1" x14ac:dyDescent="0.35">
      <c r="A112" s="234" t="s">
        <v>998</v>
      </c>
      <c r="B112" s="235" t="s">
        <v>361</v>
      </c>
      <c r="C112" s="236" t="s">
        <v>362</v>
      </c>
      <c r="D112" s="232">
        <v>5.5</v>
      </c>
      <c r="E112" s="233"/>
    </row>
    <row r="113" spans="1:5" ht="12.75" customHeight="1" x14ac:dyDescent="0.35">
      <c r="A113" s="234" t="s">
        <v>999</v>
      </c>
      <c r="B113" s="235" t="s">
        <v>363</v>
      </c>
      <c r="C113" s="236" t="s">
        <v>364</v>
      </c>
      <c r="D113" s="232">
        <v>4.5999999999999996</v>
      </c>
      <c r="E113" s="233"/>
    </row>
    <row r="114" spans="1:5" ht="12.75" customHeight="1" x14ac:dyDescent="0.35">
      <c r="A114" s="234" t="s">
        <v>999</v>
      </c>
      <c r="B114" s="235" t="s">
        <v>365</v>
      </c>
      <c r="C114" s="236" t="s">
        <v>366</v>
      </c>
      <c r="D114" s="232">
        <v>4.9589999999999996</v>
      </c>
      <c r="E114" s="233"/>
    </row>
    <row r="115" spans="1:5" ht="12.75" customHeight="1" x14ac:dyDescent="0.35">
      <c r="A115" s="234" t="s">
        <v>999</v>
      </c>
      <c r="B115" s="235" t="s">
        <v>367</v>
      </c>
      <c r="C115" s="236" t="s">
        <v>368</v>
      </c>
      <c r="D115" s="232">
        <v>5</v>
      </c>
      <c r="E115" s="233"/>
    </row>
    <row r="116" spans="1:5" ht="12.75" customHeight="1" x14ac:dyDescent="0.35">
      <c r="A116" s="234" t="s">
        <v>799</v>
      </c>
      <c r="B116" s="235" t="s">
        <v>485</v>
      </c>
      <c r="C116" s="236" t="s">
        <v>486</v>
      </c>
      <c r="D116" s="232">
        <v>5.2789999999999999</v>
      </c>
      <c r="E116" s="233"/>
    </row>
    <row r="117" spans="1:5" ht="12.75" customHeight="1" x14ac:dyDescent="0.35">
      <c r="A117" s="234" t="s">
        <v>387</v>
      </c>
      <c r="B117" s="235" t="s">
        <v>388</v>
      </c>
      <c r="C117" s="236" t="s">
        <v>389</v>
      </c>
      <c r="D117" s="232">
        <v>5.375</v>
      </c>
      <c r="E117" s="233"/>
    </row>
    <row r="118" spans="1:5" ht="12.75" customHeight="1" x14ac:dyDescent="0.35">
      <c r="A118" s="234" t="s">
        <v>1000</v>
      </c>
      <c r="B118" s="235" t="s">
        <v>383</v>
      </c>
      <c r="C118" s="236" t="s">
        <v>384</v>
      </c>
      <c r="D118" s="232">
        <v>7.25</v>
      </c>
      <c r="E118" s="233"/>
    </row>
    <row r="119" spans="1:5" ht="12.75" customHeight="1" x14ac:dyDescent="0.35">
      <c r="A119" s="234" t="s">
        <v>1000</v>
      </c>
      <c r="B119" s="235" t="s">
        <v>385</v>
      </c>
      <c r="C119" s="236" t="s">
        <v>386</v>
      </c>
      <c r="D119" s="232">
        <v>8.375</v>
      </c>
      <c r="E119" s="233"/>
    </row>
    <row r="120" spans="1:5" ht="12.75" customHeight="1" x14ac:dyDescent="0.35">
      <c r="A120" s="234" t="s">
        <v>1001</v>
      </c>
      <c r="B120" s="235" t="s">
        <v>394</v>
      </c>
      <c r="C120" s="236" t="s">
        <v>395</v>
      </c>
      <c r="D120" s="232">
        <v>4.375</v>
      </c>
      <c r="E120" s="233"/>
    </row>
    <row r="121" spans="1:5" ht="12.75" customHeight="1" x14ac:dyDescent="0.35">
      <c r="A121" s="234" t="s">
        <v>1001</v>
      </c>
      <c r="B121" s="235" t="s">
        <v>396</v>
      </c>
      <c r="C121" s="236" t="s">
        <v>397</v>
      </c>
      <c r="D121" s="232">
        <v>4.875</v>
      </c>
      <c r="E121" s="233"/>
    </row>
    <row r="122" spans="1:5" ht="12.75" customHeight="1" x14ac:dyDescent="0.35">
      <c r="A122" s="234" t="s">
        <v>1001</v>
      </c>
      <c r="B122" s="235" t="s">
        <v>398</v>
      </c>
      <c r="C122" s="236" t="s">
        <v>399</v>
      </c>
      <c r="D122" s="232">
        <v>6</v>
      </c>
      <c r="E122" s="233"/>
    </row>
    <row r="123" spans="1:5" ht="12.75" customHeight="1" x14ac:dyDescent="0.35">
      <c r="A123" s="234" t="s">
        <v>1001</v>
      </c>
      <c r="B123" s="235" t="s">
        <v>400</v>
      </c>
      <c r="C123" s="236" t="s">
        <v>401</v>
      </c>
      <c r="D123" s="232">
        <v>5.1710000000000003</v>
      </c>
      <c r="E123" s="233"/>
    </row>
    <row r="124" spans="1:5" ht="12.75" customHeight="1" x14ac:dyDescent="0.35">
      <c r="A124" s="234" t="s">
        <v>806</v>
      </c>
      <c r="B124" s="235" t="s">
        <v>402</v>
      </c>
      <c r="C124" s="236" t="s">
        <v>403</v>
      </c>
      <c r="D124" s="232">
        <v>6.25</v>
      </c>
      <c r="E124" s="233"/>
    </row>
    <row r="125" spans="1:5" ht="12.75" customHeight="1" x14ac:dyDescent="0.35">
      <c r="A125" s="234" t="s">
        <v>1002</v>
      </c>
      <c r="B125" s="235" t="s">
        <v>413</v>
      </c>
      <c r="C125" s="236" t="s">
        <v>414</v>
      </c>
      <c r="D125" s="232">
        <v>4.5</v>
      </c>
      <c r="E125" s="233"/>
    </row>
    <row r="126" spans="1:5" ht="12.75" customHeight="1" x14ac:dyDescent="0.35">
      <c r="A126" s="234" t="s">
        <v>1002</v>
      </c>
      <c r="B126" s="235" t="s">
        <v>415</v>
      </c>
      <c r="C126" s="236" t="s">
        <v>416</v>
      </c>
      <c r="D126" s="232">
        <v>5.2469999999999999</v>
      </c>
      <c r="E126" s="233"/>
    </row>
    <row r="127" spans="1:5" ht="12.75" customHeight="1" x14ac:dyDescent="0.35">
      <c r="A127" s="234" t="s">
        <v>1002</v>
      </c>
      <c r="B127" s="235" t="s">
        <v>417</v>
      </c>
      <c r="C127" s="236" t="s">
        <v>418</v>
      </c>
      <c r="D127" s="232">
        <v>5.45</v>
      </c>
      <c r="E127" s="233"/>
    </row>
    <row r="128" spans="1:5" ht="12.75" customHeight="1" x14ac:dyDescent="0.35">
      <c r="A128" s="234" t="s">
        <v>1003</v>
      </c>
      <c r="B128" s="235" t="s">
        <v>409</v>
      </c>
      <c r="C128" s="236" t="s">
        <v>410</v>
      </c>
      <c r="D128" s="232">
        <v>5.5810000000000004</v>
      </c>
      <c r="E128" s="233"/>
    </row>
    <row r="129" spans="1:5" ht="12.75" customHeight="1" x14ac:dyDescent="0.35">
      <c r="A129" s="234" t="s">
        <v>1003</v>
      </c>
      <c r="B129" s="235" t="s">
        <v>411</v>
      </c>
      <c r="C129" s="236" t="s">
        <v>412</v>
      </c>
      <c r="D129" s="232">
        <v>4.4850000000000003</v>
      </c>
      <c r="E129" s="233"/>
    </row>
    <row r="130" spans="1:5" ht="12.75" customHeight="1" x14ac:dyDescent="0.35">
      <c r="A130" s="234" t="s">
        <v>391</v>
      </c>
      <c r="B130" s="235" t="s">
        <v>392</v>
      </c>
      <c r="C130" s="236" t="s">
        <v>393</v>
      </c>
      <c r="D130" s="232">
        <v>5.0449999999999999</v>
      </c>
      <c r="E130" s="233"/>
    </row>
    <row r="131" spans="1:5" ht="12.75" customHeight="1" x14ac:dyDescent="0.35">
      <c r="A131" s="234" t="s">
        <v>1004</v>
      </c>
      <c r="B131" s="235" t="s">
        <v>330</v>
      </c>
      <c r="C131" s="236" t="s">
        <v>331</v>
      </c>
      <c r="D131" s="232">
        <v>5.25</v>
      </c>
      <c r="E131" s="233"/>
    </row>
    <row r="132" spans="1:5" ht="12.75" customHeight="1" x14ac:dyDescent="0.35">
      <c r="A132" s="234" t="s">
        <v>1004</v>
      </c>
      <c r="B132" s="235" t="s">
        <v>333</v>
      </c>
      <c r="C132" s="236" t="s">
        <v>334</v>
      </c>
      <c r="D132" s="232">
        <v>5.5</v>
      </c>
      <c r="E132" s="233"/>
    </row>
    <row r="133" spans="1:5" ht="12.75" customHeight="1" x14ac:dyDescent="0.35">
      <c r="A133" s="234" t="s">
        <v>1005</v>
      </c>
      <c r="B133" s="235" t="s">
        <v>85</v>
      </c>
      <c r="C133" s="236" t="s">
        <v>86</v>
      </c>
      <c r="D133" s="232">
        <v>1.6020000000000001</v>
      </c>
      <c r="E133" s="233"/>
    </row>
    <row r="134" spans="1:5" ht="12.75" customHeight="1" x14ac:dyDescent="0.35">
      <c r="A134" s="234" t="s">
        <v>1005</v>
      </c>
      <c r="B134" s="235" t="s">
        <v>88</v>
      </c>
      <c r="C134" s="236" t="s">
        <v>89</v>
      </c>
      <c r="D134" s="232">
        <v>2.694</v>
      </c>
      <c r="E134" s="233"/>
    </row>
    <row r="135" spans="1:5" ht="12.75" customHeight="1" x14ac:dyDescent="0.35">
      <c r="A135" s="234" t="s">
        <v>1005</v>
      </c>
      <c r="B135" s="235" t="s">
        <v>90</v>
      </c>
      <c r="C135" s="236" t="s">
        <v>91</v>
      </c>
      <c r="D135" s="232">
        <f>4+1/8</f>
        <v>4.125</v>
      </c>
      <c r="E135" s="233"/>
    </row>
    <row r="136" spans="1:5" ht="12.75" customHeight="1" x14ac:dyDescent="0.35">
      <c r="A136" s="234" t="s">
        <v>1005</v>
      </c>
      <c r="B136" s="235" t="s">
        <v>92</v>
      </c>
      <c r="C136" s="236" t="s">
        <v>93</v>
      </c>
      <c r="D136" s="232">
        <v>4.25</v>
      </c>
      <c r="E136" s="233"/>
    </row>
    <row r="137" spans="1:5" ht="12.75" customHeight="1" x14ac:dyDescent="0.35">
      <c r="A137" s="234" t="s">
        <v>1005</v>
      </c>
      <c r="B137" s="235" t="s">
        <v>94</v>
      </c>
      <c r="C137" s="236" t="s">
        <v>95</v>
      </c>
      <c r="D137" s="232">
        <v>4.625</v>
      </c>
      <c r="E137" s="233"/>
    </row>
    <row r="138" spans="1:5" ht="12.75" customHeight="1" x14ac:dyDescent="0.35">
      <c r="A138" s="234" t="s">
        <v>1005</v>
      </c>
      <c r="B138" s="235" t="s">
        <v>96</v>
      </c>
      <c r="C138" s="236" t="s">
        <v>97</v>
      </c>
      <c r="D138" s="232">
        <v>4.75</v>
      </c>
      <c r="E138" s="233"/>
    </row>
    <row r="139" spans="1:5" ht="12.75" customHeight="1" x14ac:dyDescent="0.35">
      <c r="A139" s="234" t="s">
        <v>1006</v>
      </c>
      <c r="B139" s="235" t="s">
        <v>430</v>
      </c>
      <c r="C139" s="236" t="s">
        <v>431</v>
      </c>
      <c r="D139" s="232">
        <v>5.5</v>
      </c>
      <c r="E139" s="233"/>
    </row>
    <row r="140" spans="1:5" ht="12.75" customHeight="1" x14ac:dyDescent="0.35">
      <c r="A140" s="234" t="s">
        <v>1006</v>
      </c>
      <c r="B140" s="235" t="s">
        <v>449</v>
      </c>
      <c r="C140" s="236" t="s">
        <v>450</v>
      </c>
      <c r="D140" s="232">
        <v>5.6840000000000002</v>
      </c>
      <c r="E140" s="233"/>
    </row>
    <row r="141" spans="1:5" ht="12.75" customHeight="1" x14ac:dyDescent="0.35">
      <c r="A141" s="234" t="s">
        <v>1006</v>
      </c>
      <c r="B141" s="235" t="s">
        <v>432</v>
      </c>
      <c r="C141" s="236" t="s">
        <v>433</v>
      </c>
      <c r="D141" s="232">
        <v>4.7229999999999999</v>
      </c>
      <c r="E141" s="233"/>
    </row>
    <row r="142" spans="1:5" ht="12.75" customHeight="1" x14ac:dyDescent="0.35">
      <c r="A142" s="234" t="s">
        <v>1006</v>
      </c>
      <c r="B142" s="235" t="s">
        <v>435</v>
      </c>
      <c r="C142" s="236" t="s">
        <v>436</v>
      </c>
      <c r="D142" s="232">
        <v>5.0599999999999996</v>
      </c>
      <c r="E142" s="233"/>
    </row>
    <row r="143" spans="1:5" ht="12.75" customHeight="1" x14ac:dyDescent="0.35">
      <c r="A143" s="234" t="s">
        <v>1006</v>
      </c>
      <c r="B143" s="235" t="s">
        <v>437</v>
      </c>
      <c r="C143" s="236" t="s">
        <v>438</v>
      </c>
      <c r="D143" s="232">
        <v>2.4129999999999998</v>
      </c>
      <c r="E143" s="233"/>
    </row>
    <row r="144" spans="1:5" ht="12.75" customHeight="1" x14ac:dyDescent="0.35">
      <c r="A144" s="234" t="s">
        <v>1006</v>
      </c>
      <c r="B144" s="235" t="s">
        <v>439</v>
      </c>
      <c r="C144" s="236" t="s">
        <v>440</v>
      </c>
      <c r="D144" s="232">
        <v>4.6319999999999997</v>
      </c>
      <c r="E144" s="233"/>
    </row>
    <row r="145" spans="1:5" ht="12.75" customHeight="1" x14ac:dyDescent="0.35">
      <c r="A145" s="234" t="s">
        <v>1006</v>
      </c>
      <c r="B145" s="235" t="s">
        <v>441</v>
      </c>
      <c r="C145" s="236" t="s">
        <v>442</v>
      </c>
      <c r="D145" s="232">
        <v>4.9420000000000002</v>
      </c>
      <c r="E145" s="233"/>
    </row>
    <row r="146" spans="1:5" ht="12.75" customHeight="1" x14ac:dyDescent="0.35">
      <c r="A146" s="234" t="s">
        <v>1006</v>
      </c>
      <c r="B146" s="235" t="s">
        <v>443</v>
      </c>
      <c r="C146" s="236" t="s">
        <v>444</v>
      </c>
      <c r="D146" s="232">
        <v>5.194</v>
      </c>
      <c r="E146" s="233"/>
    </row>
    <row r="147" spans="1:5" ht="12.75" customHeight="1" x14ac:dyDescent="0.35">
      <c r="A147" s="234" t="s">
        <v>1006</v>
      </c>
      <c r="B147" s="235" t="s">
        <v>445</v>
      </c>
      <c r="C147" s="236" t="s">
        <v>446</v>
      </c>
      <c r="D147" s="232">
        <v>5.2249999999999996</v>
      </c>
      <c r="E147" s="233"/>
    </row>
    <row r="148" spans="1:5" ht="12.75" customHeight="1" x14ac:dyDescent="0.35">
      <c r="A148" s="234" t="s">
        <v>1006</v>
      </c>
      <c r="B148" s="235" t="s">
        <v>447</v>
      </c>
      <c r="C148" s="236" t="s">
        <v>448</v>
      </c>
      <c r="D148" s="232">
        <v>5.4889999999999999</v>
      </c>
      <c r="E148" s="233"/>
    </row>
    <row r="149" spans="1:5" ht="12.75" customHeight="1" x14ac:dyDescent="0.35">
      <c r="A149" s="234" t="s">
        <v>1007</v>
      </c>
      <c r="B149" s="235" t="s">
        <v>469</v>
      </c>
      <c r="C149" s="236" t="s">
        <v>470</v>
      </c>
      <c r="D149" s="232">
        <v>5.2</v>
      </c>
      <c r="E149" s="233"/>
    </row>
    <row r="150" spans="1:5" ht="12.75" customHeight="1" x14ac:dyDescent="0.35">
      <c r="A150" s="234" t="s">
        <v>1007</v>
      </c>
      <c r="B150" s="235" t="s">
        <v>471</v>
      </c>
      <c r="C150" s="236" t="s">
        <v>472</v>
      </c>
      <c r="D150" s="232">
        <v>6.125</v>
      </c>
      <c r="E150" s="233"/>
    </row>
    <row r="151" spans="1:5" ht="12.75" customHeight="1" x14ac:dyDescent="0.35">
      <c r="A151" s="234" t="s">
        <v>1007</v>
      </c>
      <c r="B151" s="235" t="s">
        <v>473</v>
      </c>
      <c r="C151" s="236" t="s">
        <v>474</v>
      </c>
      <c r="D151" s="232">
        <v>5.25</v>
      </c>
      <c r="E151" s="233"/>
    </row>
    <row r="152" spans="1:5" ht="12.75" customHeight="1" x14ac:dyDescent="0.35">
      <c r="A152" s="234" t="s">
        <v>1008</v>
      </c>
      <c r="B152" s="235" t="s">
        <v>479</v>
      </c>
      <c r="C152" s="236" t="s">
        <v>480</v>
      </c>
      <c r="D152" s="232">
        <v>7.125</v>
      </c>
      <c r="E152" s="233"/>
    </row>
    <row r="153" spans="1:5" ht="12.75" customHeight="1" x14ac:dyDescent="0.35">
      <c r="A153" s="234" t="s">
        <v>1008</v>
      </c>
      <c r="B153" s="235" t="s">
        <v>481</v>
      </c>
      <c r="C153" s="236" t="s">
        <v>482</v>
      </c>
      <c r="D153" s="232">
        <v>7.9954999999999998</v>
      </c>
      <c r="E153" s="233"/>
    </row>
    <row r="154" spans="1:5" ht="12.75" customHeight="1" x14ac:dyDescent="0.35">
      <c r="A154" s="234" t="s">
        <v>1008</v>
      </c>
      <c r="B154" s="235" t="s">
        <v>483</v>
      </c>
      <c r="C154" s="236" t="s">
        <v>484</v>
      </c>
      <c r="D154" s="232">
        <v>8.75</v>
      </c>
      <c r="E154" s="233"/>
    </row>
    <row r="155" spans="1:5" ht="12.75" customHeight="1" x14ac:dyDescent="0.35">
      <c r="A155" s="234" t="s">
        <v>491</v>
      </c>
      <c r="B155" s="235" t="s">
        <v>492</v>
      </c>
      <c r="C155" s="236" t="s">
        <v>493</v>
      </c>
      <c r="D155" s="232">
        <v>3.2440000000000002</v>
      </c>
      <c r="E155" s="233"/>
    </row>
    <row r="156" spans="1:5" ht="12.75" customHeight="1" x14ac:dyDescent="0.35">
      <c r="A156" s="234" t="s">
        <v>1009</v>
      </c>
      <c r="B156" s="235" t="s">
        <v>202</v>
      </c>
      <c r="C156" s="236" t="s">
        <v>203</v>
      </c>
      <c r="D156" s="232">
        <v>10.875</v>
      </c>
      <c r="E156" s="233"/>
    </row>
    <row r="157" spans="1:5" ht="12.75" customHeight="1" x14ac:dyDescent="0.35">
      <c r="A157" s="234" t="s">
        <v>1009</v>
      </c>
      <c r="B157" s="235" t="s">
        <v>204</v>
      </c>
      <c r="C157" s="236" t="s">
        <v>205</v>
      </c>
      <c r="D157" s="232">
        <v>6.375</v>
      </c>
      <c r="E157" s="233"/>
    </row>
    <row r="158" spans="1:5" ht="12.75" customHeight="1" x14ac:dyDescent="0.35">
      <c r="A158" s="234" t="s">
        <v>1009</v>
      </c>
      <c r="B158" s="235" t="s">
        <v>206</v>
      </c>
      <c r="C158" s="236" t="s">
        <v>207</v>
      </c>
      <c r="D158" s="232">
        <f>7+7/8</f>
        <v>7.875</v>
      </c>
      <c r="E158" s="233"/>
    </row>
    <row r="159" spans="1:5" ht="12.75" customHeight="1" x14ac:dyDescent="0.35">
      <c r="A159" s="234" t="s">
        <v>1009</v>
      </c>
      <c r="B159" s="235" t="s">
        <v>208</v>
      </c>
      <c r="C159" s="236" t="s">
        <v>209</v>
      </c>
      <c r="D159" s="232">
        <v>7.95</v>
      </c>
      <c r="E159" s="233"/>
    </row>
    <row r="160" spans="1:5" ht="12.75" customHeight="1" x14ac:dyDescent="0.35">
      <c r="A160" s="234" t="s">
        <v>1010</v>
      </c>
      <c r="B160" s="235" t="s">
        <v>350</v>
      </c>
      <c r="C160" s="236" t="s">
        <v>351</v>
      </c>
      <c r="D160" s="232">
        <v>2.0699999999999998</v>
      </c>
      <c r="E160" s="233"/>
    </row>
    <row r="161" spans="1:5" ht="12.75" customHeight="1" x14ac:dyDescent="0.35">
      <c r="A161" s="234" t="s">
        <v>1010</v>
      </c>
      <c r="B161" s="235" t="s">
        <v>353</v>
      </c>
      <c r="C161" s="236" t="s">
        <v>354</v>
      </c>
      <c r="D161" s="232">
        <v>3.0750000000000002</v>
      </c>
      <c r="E161" s="233"/>
    </row>
    <row r="162" spans="1:5" ht="12.75" customHeight="1" x14ac:dyDescent="0.35">
      <c r="A162" s="234" t="s">
        <v>419</v>
      </c>
      <c r="B162" s="235" t="s">
        <v>420</v>
      </c>
      <c r="C162" s="236" t="s">
        <v>421</v>
      </c>
      <c r="D162" s="232">
        <v>5</v>
      </c>
      <c r="E162" s="233"/>
    </row>
    <row r="163" spans="1:5" ht="12.75" customHeight="1" x14ac:dyDescent="0.35">
      <c r="A163" s="234" t="s">
        <v>1011</v>
      </c>
      <c r="B163" s="235" t="s">
        <v>451</v>
      </c>
      <c r="C163" s="236" t="s">
        <v>452</v>
      </c>
      <c r="D163" s="232">
        <v>2.9420000000000002</v>
      </c>
      <c r="E163" s="233"/>
    </row>
    <row r="164" spans="1:5" ht="12.75" customHeight="1" x14ac:dyDescent="0.35">
      <c r="A164" s="234" t="s">
        <v>1011</v>
      </c>
      <c r="B164" s="235" t="s">
        <v>453</v>
      </c>
      <c r="C164" s="236" t="s">
        <v>454</v>
      </c>
      <c r="D164" s="232">
        <v>3.8860000000000001</v>
      </c>
      <c r="E164" s="233"/>
    </row>
    <row r="165" spans="1:5" ht="12.75" customHeight="1" x14ac:dyDescent="0.35">
      <c r="A165" s="234" t="s">
        <v>1011</v>
      </c>
      <c r="B165" s="235" t="s">
        <v>455</v>
      </c>
      <c r="C165" s="236" t="s">
        <v>456</v>
      </c>
      <c r="D165" s="232">
        <v>5</v>
      </c>
      <c r="E165" s="233"/>
    </row>
    <row r="166" spans="1:5" ht="12.75" customHeight="1" x14ac:dyDescent="0.35">
      <c r="A166" s="234" t="s">
        <v>1011</v>
      </c>
      <c r="B166" s="235" t="s">
        <v>457</v>
      </c>
      <c r="C166" s="236" t="s">
        <v>458</v>
      </c>
      <c r="D166" s="232">
        <v>5.1920000000000002</v>
      </c>
      <c r="E166" s="233"/>
    </row>
    <row r="167" spans="1:5" ht="12.75" customHeight="1" x14ac:dyDescent="0.35">
      <c r="A167" s="234" t="s">
        <v>1011</v>
      </c>
      <c r="B167" s="235" t="s">
        <v>459</v>
      </c>
      <c r="C167" s="236" t="s">
        <v>460</v>
      </c>
      <c r="D167" s="232">
        <v>5.4329999999999998</v>
      </c>
      <c r="E167" s="233"/>
    </row>
    <row r="168" spans="1:5" ht="12.75" customHeight="1" x14ac:dyDescent="0.35">
      <c r="A168" s="234" t="s">
        <v>1011</v>
      </c>
      <c r="B168" s="235" t="s">
        <v>461</v>
      </c>
      <c r="C168" s="236" t="s">
        <v>462</v>
      </c>
      <c r="D168" s="232">
        <v>5.5</v>
      </c>
      <c r="E168" s="233"/>
    </row>
    <row r="169" spans="1:5" ht="12.75" customHeight="1" x14ac:dyDescent="0.35">
      <c r="A169" s="234" t="s">
        <v>1011</v>
      </c>
      <c r="B169" s="235" t="s">
        <v>463</v>
      </c>
      <c r="C169" s="236" t="s">
        <v>464</v>
      </c>
      <c r="D169" s="232">
        <v>6.0919999999999996</v>
      </c>
      <c r="E169" s="233"/>
    </row>
    <row r="170" spans="1:5" ht="12.75" customHeight="1" x14ac:dyDescent="0.35">
      <c r="A170" s="234" t="s">
        <v>1011</v>
      </c>
      <c r="B170" s="235" t="s">
        <v>465</v>
      </c>
      <c r="C170" s="236" t="s">
        <v>466</v>
      </c>
      <c r="D170" s="232">
        <v>3.2</v>
      </c>
      <c r="E170" s="233"/>
    </row>
    <row r="171" spans="1:5" ht="12.75" customHeight="1" x14ac:dyDescent="0.35">
      <c r="A171" s="234" t="s">
        <v>1011</v>
      </c>
      <c r="B171" s="235" t="s">
        <v>467</v>
      </c>
      <c r="C171" s="236" t="s">
        <v>468</v>
      </c>
      <c r="D171" s="232">
        <v>4.226</v>
      </c>
      <c r="E171" s="233"/>
    </row>
    <row r="172" spans="1:5" ht="12.75" customHeight="1" x14ac:dyDescent="0.35">
      <c r="A172" s="234" t="s">
        <v>1012</v>
      </c>
      <c r="B172" s="235" t="s">
        <v>378</v>
      </c>
      <c r="C172" s="236" t="s">
        <v>379</v>
      </c>
      <c r="D172" s="232">
        <v>4.5250000000000004</v>
      </c>
      <c r="E172" s="233"/>
    </row>
    <row r="173" spans="1:5" ht="12.75" customHeight="1" x14ac:dyDescent="0.35">
      <c r="A173" s="234" t="s">
        <v>1012</v>
      </c>
      <c r="B173" s="235" t="s">
        <v>381</v>
      </c>
      <c r="C173" s="236" t="s">
        <v>382</v>
      </c>
      <c r="D173" s="232">
        <v>4.875</v>
      </c>
      <c r="E173" s="233"/>
    </row>
    <row r="174" spans="1:5" ht="12.75" customHeight="1" x14ac:dyDescent="0.35">
      <c r="A174" s="234" t="s">
        <v>1013</v>
      </c>
      <c r="B174" s="235" t="s">
        <v>299</v>
      </c>
      <c r="C174" s="236" t="s">
        <v>300</v>
      </c>
      <c r="D174" s="232">
        <v>4.391</v>
      </c>
      <c r="E174" s="233"/>
    </row>
    <row r="175" spans="1:5" ht="12.75" customHeight="1" x14ac:dyDescent="0.35">
      <c r="A175" s="234" t="s">
        <v>1013</v>
      </c>
      <c r="B175" s="235" t="s">
        <v>302</v>
      </c>
      <c r="C175" s="236" t="s">
        <v>303</v>
      </c>
      <c r="D175" s="232">
        <v>4.95</v>
      </c>
      <c r="E175" s="233"/>
    </row>
    <row r="176" spans="1:5" ht="12.75" customHeight="1" x14ac:dyDescent="0.35">
      <c r="A176" s="234" t="s">
        <v>1014</v>
      </c>
      <c r="B176" s="235" t="s">
        <v>326</v>
      </c>
      <c r="C176" s="236" t="s">
        <v>327</v>
      </c>
      <c r="D176" s="232">
        <v>4.25</v>
      </c>
      <c r="E176" s="233"/>
    </row>
    <row r="177" spans="1:5" ht="12.75" customHeight="1" x14ac:dyDescent="0.35">
      <c r="A177" s="234" t="s">
        <v>1014</v>
      </c>
      <c r="B177" s="235" t="s">
        <v>328</v>
      </c>
      <c r="C177" s="236" t="s">
        <v>329</v>
      </c>
      <c r="D177" s="232">
        <v>4.875</v>
      </c>
      <c r="E177" s="233"/>
    </row>
    <row r="178" spans="1:5" ht="12.75" customHeight="1" x14ac:dyDescent="0.35">
      <c r="A178" s="234" t="s">
        <v>1015</v>
      </c>
      <c r="B178" s="235" t="s">
        <v>373</v>
      </c>
      <c r="C178" s="236" t="s">
        <v>374</v>
      </c>
      <c r="D178" s="232">
        <v>5.25</v>
      </c>
      <c r="E178" s="233"/>
    </row>
    <row r="179" spans="1:5" ht="12.75" customHeight="1" x14ac:dyDescent="0.35">
      <c r="A179" s="234" t="s">
        <v>1015</v>
      </c>
      <c r="B179" s="235" t="s">
        <v>376</v>
      </c>
      <c r="C179" s="236" t="s">
        <v>377</v>
      </c>
      <c r="D179" s="232">
        <v>6.625</v>
      </c>
      <c r="E179" s="233"/>
    </row>
    <row r="180" spans="1:5" ht="12.75" customHeight="1" x14ac:dyDescent="0.35">
      <c r="A180" s="234" t="s">
        <v>1016</v>
      </c>
      <c r="B180" s="235" t="s">
        <v>253</v>
      </c>
      <c r="C180" s="236" t="s">
        <v>254</v>
      </c>
      <c r="D180" s="232">
        <v>3.55</v>
      </c>
      <c r="E180" s="233"/>
    </row>
    <row r="181" spans="1:5" ht="12.75" customHeight="1" x14ac:dyDescent="0.35">
      <c r="A181" s="234" t="s">
        <v>1016</v>
      </c>
      <c r="B181" s="235" t="s">
        <v>273</v>
      </c>
      <c r="C181" s="236" t="s">
        <v>274</v>
      </c>
      <c r="D181" s="232">
        <v>4.55</v>
      </c>
      <c r="E181" s="233"/>
    </row>
    <row r="182" spans="1:5" ht="12.75" customHeight="1" x14ac:dyDescent="0.35">
      <c r="A182" s="234" t="s">
        <v>1016</v>
      </c>
      <c r="B182" s="235" t="s">
        <v>275</v>
      </c>
      <c r="C182" s="236" t="s">
        <v>276</v>
      </c>
      <c r="D182" s="232">
        <v>4.7</v>
      </c>
      <c r="E182" s="233"/>
    </row>
    <row r="183" spans="1:5" ht="12.75" customHeight="1" x14ac:dyDescent="0.35">
      <c r="A183" s="234" t="s">
        <v>1016</v>
      </c>
      <c r="B183" s="235" t="s">
        <v>277</v>
      </c>
      <c r="C183" s="236" t="s">
        <v>278</v>
      </c>
      <c r="D183" s="232">
        <v>5</v>
      </c>
      <c r="E183" s="233"/>
    </row>
    <row r="184" spans="1:5" ht="12.75" customHeight="1" x14ac:dyDescent="0.35">
      <c r="A184" s="234" t="s">
        <v>1016</v>
      </c>
      <c r="B184" s="235" t="s">
        <v>279</v>
      </c>
      <c r="C184" s="236" t="s">
        <v>280</v>
      </c>
      <c r="D184" s="232">
        <v>5</v>
      </c>
      <c r="E184" s="233"/>
    </row>
    <row r="185" spans="1:5" ht="12.75" customHeight="1" x14ac:dyDescent="0.35">
      <c r="A185" s="234" t="s">
        <v>1016</v>
      </c>
      <c r="B185" s="235" t="s">
        <v>281</v>
      </c>
      <c r="C185" s="236" t="s">
        <v>282</v>
      </c>
      <c r="D185" s="232">
        <v>5.0999999999999996</v>
      </c>
      <c r="E185" s="233"/>
    </row>
    <row r="186" spans="1:5" ht="12.75" customHeight="1" x14ac:dyDescent="0.35">
      <c r="A186" s="234" t="s">
        <v>1016</v>
      </c>
      <c r="B186" s="235" t="s">
        <v>283</v>
      </c>
      <c r="C186" s="236" t="s">
        <v>284</v>
      </c>
      <c r="D186" s="232">
        <v>5.2</v>
      </c>
      <c r="E186" s="233"/>
    </row>
    <row r="187" spans="1:5" ht="12.75" customHeight="1" x14ac:dyDescent="0.35">
      <c r="A187" s="234" t="s">
        <v>1016</v>
      </c>
      <c r="B187" s="235" t="s">
        <v>285</v>
      </c>
      <c r="C187" s="236" t="s">
        <v>286</v>
      </c>
      <c r="D187" s="232">
        <v>5.2</v>
      </c>
      <c r="E187" s="233"/>
    </row>
    <row r="188" spans="1:5" ht="12.75" customHeight="1" x14ac:dyDescent="0.35">
      <c r="A188" s="234" t="s">
        <v>1016</v>
      </c>
      <c r="B188" s="235" t="s">
        <v>287</v>
      </c>
      <c r="C188" s="236" t="s">
        <v>288</v>
      </c>
      <c r="D188" s="232">
        <v>5.25</v>
      </c>
      <c r="E188" s="233"/>
    </row>
    <row r="189" spans="1:5" ht="12.75" customHeight="1" x14ac:dyDescent="0.35">
      <c r="A189" s="234" t="s">
        <v>1016</v>
      </c>
      <c r="B189" s="235" t="s">
        <v>289</v>
      </c>
      <c r="C189" s="236" t="s">
        <v>290</v>
      </c>
      <c r="D189" s="232">
        <v>5.4</v>
      </c>
      <c r="E189" s="233"/>
    </row>
    <row r="190" spans="1:5" ht="12.75" customHeight="1" x14ac:dyDescent="0.35">
      <c r="A190" s="234" t="s">
        <v>1016</v>
      </c>
      <c r="B190" s="235" t="s">
        <v>291</v>
      </c>
      <c r="C190" s="236" t="s">
        <v>292</v>
      </c>
      <c r="D190" s="232">
        <v>5.5</v>
      </c>
      <c r="E190" s="233"/>
    </row>
    <row r="191" spans="1:5" ht="12.75" customHeight="1" x14ac:dyDescent="0.35">
      <c r="A191" s="234" t="s">
        <v>1016</v>
      </c>
      <c r="B191" s="235" t="s">
        <v>257</v>
      </c>
      <c r="C191" s="236" t="s">
        <v>258</v>
      </c>
      <c r="D191" s="232">
        <v>1.5</v>
      </c>
      <c r="E191" s="233"/>
    </row>
    <row r="192" spans="1:5" ht="12.75" customHeight="1" x14ac:dyDescent="0.35">
      <c r="A192" s="234" t="s">
        <v>1016</v>
      </c>
      <c r="B192" s="235" t="s">
        <v>293</v>
      </c>
      <c r="C192" s="236" t="s">
        <v>294</v>
      </c>
      <c r="D192" s="232">
        <v>5.6</v>
      </c>
      <c r="E192" s="233"/>
    </row>
    <row r="193" spans="1:5" ht="12.75" customHeight="1" x14ac:dyDescent="0.35">
      <c r="A193" s="234" t="s">
        <v>1016</v>
      </c>
      <c r="B193" s="235" t="s">
        <v>295</v>
      </c>
      <c r="C193" s="236" t="s">
        <v>296</v>
      </c>
      <c r="D193" s="232">
        <v>5.65</v>
      </c>
      <c r="E193" s="233"/>
    </row>
    <row r="194" spans="1:5" ht="12.75" customHeight="1" x14ac:dyDescent="0.35">
      <c r="A194" s="234" t="s">
        <v>1016</v>
      </c>
      <c r="B194" s="235" t="s">
        <v>297</v>
      </c>
      <c r="C194" s="236" t="s">
        <v>298</v>
      </c>
      <c r="D194" s="232">
        <v>4.1500000000000004</v>
      </c>
      <c r="E194" s="233"/>
    </row>
    <row r="195" spans="1:5" ht="12.75" customHeight="1" x14ac:dyDescent="0.35">
      <c r="A195" s="234" t="s">
        <v>1016</v>
      </c>
      <c r="B195" s="235" t="s">
        <v>259</v>
      </c>
      <c r="C195" s="236" t="s">
        <v>260</v>
      </c>
      <c r="D195" s="232">
        <v>2.5499999999999998</v>
      </c>
      <c r="E195" s="233"/>
    </row>
    <row r="196" spans="1:5" ht="12.75" customHeight="1" x14ac:dyDescent="0.35">
      <c r="A196" s="234" t="s">
        <v>1016</v>
      </c>
      <c r="B196" s="235" t="s">
        <v>261</v>
      </c>
      <c r="C196" s="236" t="s">
        <v>262</v>
      </c>
      <c r="D196" s="232">
        <v>2.8</v>
      </c>
      <c r="E196" s="233"/>
    </row>
    <row r="197" spans="1:5" ht="12.75" customHeight="1" x14ac:dyDescent="0.35">
      <c r="A197" s="234" t="s">
        <v>1016</v>
      </c>
      <c r="B197" s="235" t="s">
        <v>263</v>
      </c>
      <c r="C197" s="236" t="s">
        <v>264</v>
      </c>
      <c r="D197" s="232">
        <v>3.8</v>
      </c>
      <c r="E197" s="233"/>
    </row>
    <row r="198" spans="1:5" ht="12.75" customHeight="1" x14ac:dyDescent="0.35">
      <c r="A198" s="234" t="s">
        <v>1016</v>
      </c>
      <c r="B198" s="235" t="s">
        <v>265</v>
      </c>
      <c r="C198" s="236" t="s">
        <v>266</v>
      </c>
      <c r="D198" s="232">
        <v>4.5</v>
      </c>
      <c r="E198" s="233"/>
    </row>
    <row r="199" spans="1:5" ht="12.75" customHeight="1" x14ac:dyDescent="0.35">
      <c r="A199" s="234" t="s">
        <v>1016</v>
      </c>
      <c r="B199" s="235" t="s">
        <v>267</v>
      </c>
      <c r="C199" s="236" t="s">
        <v>268</v>
      </c>
      <c r="D199" s="232">
        <v>4.4000000000000004</v>
      </c>
      <c r="E199" s="233"/>
    </row>
    <row r="200" spans="1:5" ht="12.75" customHeight="1" x14ac:dyDescent="0.35">
      <c r="A200" s="234" t="s">
        <v>1016</v>
      </c>
      <c r="B200" s="235" t="s">
        <v>269</v>
      </c>
      <c r="C200" s="236" t="s">
        <v>270</v>
      </c>
      <c r="D200" s="232">
        <v>4.4000000000000004</v>
      </c>
      <c r="E200" s="233"/>
    </row>
    <row r="201" spans="1:5" ht="12.75" customHeight="1" x14ac:dyDescent="0.35">
      <c r="A201" s="234" t="s">
        <v>1016</v>
      </c>
      <c r="B201" s="235" t="s">
        <v>271</v>
      </c>
      <c r="C201" s="236" t="s">
        <v>272</v>
      </c>
      <c r="D201" s="232">
        <v>4.45</v>
      </c>
      <c r="E201" s="233"/>
    </row>
    <row r="202" spans="1:5" ht="12.75" customHeight="1" x14ac:dyDescent="0.35">
      <c r="A202" s="234" t="s">
        <v>1017</v>
      </c>
      <c r="B202" s="235" t="s">
        <v>495</v>
      </c>
      <c r="C202" s="236" t="s">
        <v>496</v>
      </c>
      <c r="D202" s="232">
        <v>6.75</v>
      </c>
      <c r="E202" s="233"/>
    </row>
    <row r="203" spans="1:5" ht="12.75" customHeight="1" x14ac:dyDescent="0.35">
      <c r="A203" s="234" t="s">
        <v>1017</v>
      </c>
      <c r="B203" s="235" t="s">
        <v>497</v>
      </c>
      <c r="C203" s="236" t="s">
        <v>498</v>
      </c>
      <c r="D203" s="232">
        <v>5.125</v>
      </c>
      <c r="E203" s="233"/>
    </row>
    <row r="204" spans="1:5" ht="12.75" customHeight="1" x14ac:dyDescent="0.35">
      <c r="A204" s="234" t="s">
        <v>1017</v>
      </c>
      <c r="B204" s="235" t="s">
        <v>499</v>
      </c>
      <c r="C204" s="236" t="s">
        <v>500</v>
      </c>
      <c r="D204" s="232">
        <v>6.5</v>
      </c>
      <c r="E204" s="233"/>
    </row>
    <row r="205" spans="1:5" ht="12.75" customHeight="1" x14ac:dyDescent="0.35">
      <c r="A205" s="234" t="s">
        <v>1017</v>
      </c>
      <c r="B205" s="235" t="s">
        <v>501</v>
      </c>
      <c r="C205" s="236" t="s">
        <v>502</v>
      </c>
      <c r="D205" s="232">
        <v>7.25</v>
      </c>
      <c r="E205" s="233"/>
    </row>
    <row r="206" spans="1:5" ht="12.75" customHeight="1" x14ac:dyDescent="0.35">
      <c r="A206" s="234" t="s">
        <v>1017</v>
      </c>
      <c r="B206" s="235" t="s">
        <v>503</v>
      </c>
      <c r="C206" s="236" t="s">
        <v>504</v>
      </c>
      <c r="D206" s="232">
        <v>8.5091000000000001</v>
      </c>
      <c r="E206" s="233"/>
    </row>
    <row r="207" spans="1:5" ht="12.75" customHeight="1" x14ac:dyDescent="0.35">
      <c r="A207" s="234" t="s">
        <v>1018</v>
      </c>
      <c r="B207" s="235" t="s">
        <v>475</v>
      </c>
      <c r="C207" s="236" t="s">
        <v>476</v>
      </c>
      <c r="D207" s="232">
        <v>2.3420000000000001</v>
      </c>
      <c r="E207" s="233"/>
    </row>
    <row r="208" spans="1:5" ht="12.75" customHeight="1" x14ac:dyDescent="0.35">
      <c r="A208" s="234" t="s">
        <v>1018</v>
      </c>
      <c r="B208" s="235" t="s">
        <v>477</v>
      </c>
      <c r="C208" s="236" t="s">
        <v>478</v>
      </c>
      <c r="D208" s="232">
        <v>5.1289999999999996</v>
      </c>
      <c r="E208" s="233"/>
    </row>
    <row r="209" spans="1:5" ht="12.75" customHeight="1" x14ac:dyDescent="0.35">
      <c r="A209" s="234" t="s">
        <v>406</v>
      </c>
      <c r="B209" s="235" t="s">
        <v>407</v>
      </c>
      <c r="C209" s="236" t="s">
        <v>408</v>
      </c>
      <c r="D209" s="232">
        <v>4.25</v>
      </c>
      <c r="E209" s="233"/>
    </row>
    <row r="210" spans="1:5" ht="12.75" customHeight="1" x14ac:dyDescent="0.35">
      <c r="A210" s="234" t="s">
        <v>1019</v>
      </c>
      <c r="B210" s="235" t="s">
        <v>511</v>
      </c>
      <c r="C210" s="236" t="s">
        <v>512</v>
      </c>
      <c r="D210" s="232">
        <v>3.49</v>
      </c>
      <c r="E210" s="233"/>
    </row>
    <row r="211" spans="1:5" ht="12.75" customHeight="1" x14ac:dyDescent="0.35">
      <c r="A211" s="234" t="s">
        <v>1019</v>
      </c>
      <c r="B211" s="235" t="s">
        <v>514</v>
      </c>
      <c r="C211" s="236" t="s">
        <v>515</v>
      </c>
      <c r="D211" s="232">
        <v>3.65</v>
      </c>
      <c r="E211" s="233"/>
    </row>
    <row r="212" spans="1:5" ht="12.75" customHeight="1" x14ac:dyDescent="0.35">
      <c r="A212" s="234" t="s">
        <v>1019</v>
      </c>
      <c r="B212" s="235" t="s">
        <v>516</v>
      </c>
      <c r="C212" s="236" t="s">
        <v>517</v>
      </c>
      <c r="D212" s="232">
        <v>3.7</v>
      </c>
      <c r="E212" s="233"/>
    </row>
    <row r="213" spans="1:5" ht="12.75" customHeight="1" x14ac:dyDescent="0.35">
      <c r="A213" s="234" t="s">
        <v>1019</v>
      </c>
      <c r="B213" s="235" t="s">
        <v>518</v>
      </c>
      <c r="C213" s="236" t="s">
        <v>519</v>
      </c>
      <c r="D213" s="232">
        <v>4.0599999999999996</v>
      </c>
      <c r="E213" s="233"/>
    </row>
    <row r="214" spans="1:5" ht="12.75" customHeight="1" x14ac:dyDescent="0.35">
      <c r="A214" s="234" t="s">
        <v>1019</v>
      </c>
      <c r="B214" s="235" t="s">
        <v>520</v>
      </c>
      <c r="C214" s="236" t="s">
        <v>521</v>
      </c>
      <c r="D214" s="232">
        <v>4.12</v>
      </c>
      <c r="E214" s="233"/>
    </row>
    <row r="215" spans="1:5" ht="12.75" customHeight="1" x14ac:dyDescent="0.35">
      <c r="A215" s="234" t="s">
        <v>1019</v>
      </c>
      <c r="B215" s="235" t="s">
        <v>522</v>
      </c>
      <c r="C215" s="236" t="s">
        <v>523</v>
      </c>
      <c r="D215" s="232">
        <v>4.4800000000000004</v>
      </c>
      <c r="E215" s="233"/>
    </row>
    <row r="216" spans="1:5" ht="12.75" customHeight="1" x14ac:dyDescent="0.35">
      <c r="A216" s="234" t="s">
        <v>1019</v>
      </c>
      <c r="B216" s="235" t="s">
        <v>524</v>
      </c>
      <c r="C216" s="236" t="s">
        <v>525</v>
      </c>
      <c r="D216" s="232">
        <v>4.57</v>
      </c>
      <c r="E216" s="233"/>
    </row>
    <row r="217" spans="1:5" ht="12.75" customHeight="1" x14ac:dyDescent="0.35">
      <c r="A217" s="234" t="s">
        <v>505</v>
      </c>
      <c r="B217" s="235" t="s">
        <v>506</v>
      </c>
      <c r="C217" s="236" t="s">
        <v>507</v>
      </c>
      <c r="D217" s="232">
        <v>6.5</v>
      </c>
      <c r="E217" s="233"/>
    </row>
    <row r="218" spans="1:5" ht="12.75" customHeight="1" x14ac:dyDescent="0.35">
      <c r="A218" s="234" t="s">
        <v>14</v>
      </c>
      <c r="B218" s="235" t="s">
        <v>509</v>
      </c>
      <c r="C218" s="236" t="s">
        <v>510</v>
      </c>
      <c r="D218" s="232">
        <v>6.95</v>
      </c>
      <c r="E218" s="233"/>
    </row>
    <row r="219" spans="1:5" ht="12.75" customHeight="1" x14ac:dyDescent="0.35">
      <c r="A219" s="234" t="s">
        <v>526</v>
      </c>
      <c r="B219" s="235" t="s">
        <v>527</v>
      </c>
      <c r="C219" s="236" t="s">
        <v>528</v>
      </c>
      <c r="D219" s="232">
        <v>8.375</v>
      </c>
      <c r="E219" s="233"/>
    </row>
    <row r="220" spans="1:5" ht="12.75" customHeight="1" x14ac:dyDescent="0.35">
      <c r="A220" s="234" t="s">
        <v>1020</v>
      </c>
      <c r="B220" s="235" t="s">
        <v>531</v>
      </c>
      <c r="C220" s="236" t="s">
        <v>532</v>
      </c>
      <c r="D220" s="232">
        <v>5.351</v>
      </c>
      <c r="E220" s="233"/>
    </row>
    <row r="221" spans="1:5" ht="12.75" customHeight="1" x14ac:dyDescent="0.35">
      <c r="A221" s="234" t="s">
        <v>1020</v>
      </c>
      <c r="B221" s="235" t="s">
        <v>529</v>
      </c>
      <c r="C221" s="236" t="s">
        <v>530</v>
      </c>
      <c r="D221" s="232">
        <v>4</v>
      </c>
      <c r="E221" s="233"/>
    </row>
    <row r="222" spans="1:5" ht="12.75" customHeight="1" x14ac:dyDescent="0.35">
      <c r="A222" s="234" t="s">
        <v>1020</v>
      </c>
      <c r="B222" s="235" t="s">
        <v>534</v>
      </c>
      <c r="C222" s="236" t="s">
        <v>535</v>
      </c>
      <c r="D222" s="232">
        <v>6.25</v>
      </c>
      <c r="E222" s="233"/>
    </row>
    <row r="223" spans="1:5" ht="12.75" customHeight="1" thickBot="1" x14ac:dyDescent="0.4">
      <c r="A223" s="246" t="s">
        <v>488</v>
      </c>
      <c r="B223" s="247" t="s">
        <v>489</v>
      </c>
      <c r="C223" s="248" t="s">
        <v>490</v>
      </c>
      <c r="D223" s="232">
        <v>9.375</v>
      </c>
      <c r="E223" s="233"/>
    </row>
    <row r="224" spans="1:5" ht="12.75" customHeight="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6A43-A328-40FA-8918-C6249C4A95CB}">
  <dimension ref="A1:AM233"/>
  <sheetViews>
    <sheetView workbookViewId="0">
      <selection activeCell="B8" sqref="B8"/>
    </sheetView>
  </sheetViews>
  <sheetFormatPr defaultColWidth="6.90625" defaultRowHeight="14.5" x14ac:dyDescent="0.35"/>
  <cols>
    <col min="1" max="1" width="60.90625" customWidth="1"/>
    <col min="2" max="2" width="27.54296875" customWidth="1"/>
    <col min="3" max="3" width="60.90625" customWidth="1"/>
    <col min="4" max="4" width="14.453125" customWidth="1"/>
    <col min="5" max="5" width="24.1796875" hidden="1" customWidth="1"/>
    <col min="6" max="7" width="16.90625" hidden="1" customWidth="1"/>
    <col min="8" max="8" width="12.08984375" hidden="1" customWidth="1"/>
    <col min="9" max="9" width="13.6328125" style="72" hidden="1" customWidth="1"/>
    <col min="10" max="10" width="23.54296875" customWidth="1"/>
    <col min="11" max="11" width="45.81640625" customWidth="1"/>
    <col min="12" max="12" width="71.36328125" customWidth="1"/>
    <col min="13" max="13" width="19.36328125" customWidth="1"/>
    <col min="14" max="14" width="16.36328125" customWidth="1"/>
    <col min="15" max="15" width="22.36328125" customWidth="1"/>
    <col min="16" max="16" width="21.6328125" style="70" customWidth="1"/>
    <col min="17" max="17" width="25.453125" style="70" customWidth="1"/>
    <col min="18" max="19" width="36.1796875" customWidth="1"/>
    <col min="20" max="20" width="53.453125" customWidth="1"/>
    <col min="21" max="21" width="70.453125" customWidth="1"/>
    <col min="22" max="22" width="96.81640625" customWidth="1"/>
    <col min="23" max="23" width="60.90625" customWidth="1"/>
    <col min="24" max="24" width="22.81640625" bestFit="1" customWidth="1"/>
    <col min="27" max="27" width="60.90625" customWidth="1"/>
    <col min="28" max="28" width="36.1796875" customWidth="1"/>
    <col min="29" max="29" width="36.81640625" customWidth="1"/>
    <col min="30" max="31" width="33" customWidth="1"/>
    <col min="32" max="32" width="11.7265625" customWidth="1"/>
    <col min="33" max="33" width="10.08984375" customWidth="1"/>
    <col min="34" max="34" width="31.6328125" customWidth="1"/>
    <col min="35" max="35" width="37.54296875" customWidth="1"/>
    <col min="36" max="36" width="33" customWidth="1"/>
    <col min="37" max="37" width="7.6328125" customWidth="1"/>
    <col min="38" max="38" width="10.54296875" customWidth="1"/>
  </cols>
  <sheetData>
    <row r="1" spans="1:38" ht="12.75" customHeight="1" thickBot="1" x14ac:dyDescent="0.4">
      <c r="A1" s="18" t="s">
        <v>0</v>
      </c>
      <c r="B1" s="18" t="s">
        <v>544</v>
      </c>
      <c r="C1" s="18" t="s">
        <v>0</v>
      </c>
      <c r="D1" s="18" t="s">
        <v>27</v>
      </c>
      <c r="E1" s="18" t="s">
        <v>901</v>
      </c>
      <c r="F1" s="18" t="s">
        <v>553</v>
      </c>
      <c r="G1" s="18" t="s">
        <v>554</v>
      </c>
      <c r="H1" s="18" t="s">
        <v>729</v>
      </c>
      <c r="I1" s="18" t="s">
        <v>552</v>
      </c>
      <c r="J1" s="18" t="s">
        <v>1</v>
      </c>
      <c r="K1" s="18" t="s">
        <v>731</v>
      </c>
      <c r="L1" s="18" t="s">
        <v>2</v>
      </c>
      <c r="M1" s="18" t="s">
        <v>3</v>
      </c>
      <c r="N1" s="36" t="s">
        <v>546</v>
      </c>
      <c r="O1" s="18" t="s">
        <v>21</v>
      </c>
      <c r="P1" s="68" t="s">
        <v>541</v>
      </c>
      <c r="Q1" s="68" t="s">
        <v>730</v>
      </c>
      <c r="R1" s="18" t="s">
        <v>906</v>
      </c>
      <c r="S1" s="18" t="s">
        <v>909</v>
      </c>
      <c r="T1" s="37" t="s">
        <v>547</v>
      </c>
      <c r="U1" s="88" t="s">
        <v>761</v>
      </c>
      <c r="V1" s="88" t="s">
        <v>926</v>
      </c>
      <c r="W1" s="18" t="s">
        <v>0</v>
      </c>
      <c r="AA1" s="18" t="s">
        <v>0</v>
      </c>
      <c r="AB1" s="18" t="s">
        <v>906</v>
      </c>
      <c r="AC1" s="150" t="s">
        <v>898</v>
      </c>
      <c r="AD1" t="s">
        <v>948</v>
      </c>
      <c r="AH1" s="18" t="s">
        <v>906</v>
      </c>
      <c r="AI1" s="150" t="s">
        <v>898</v>
      </c>
      <c r="AJ1" t="s">
        <v>948</v>
      </c>
    </row>
    <row r="2" spans="1:38" ht="43.5" x14ac:dyDescent="0.35">
      <c r="A2" s="49" t="s">
        <v>674</v>
      </c>
      <c r="B2" s="50" t="s">
        <v>28</v>
      </c>
      <c r="C2" s="49" t="s">
        <v>674</v>
      </c>
      <c r="D2" s="19" t="s">
        <v>29</v>
      </c>
      <c r="E2" s="75">
        <f t="shared" ref="E2:E65" si="0">EDATE(F2,-6)</f>
        <v>45976</v>
      </c>
      <c r="F2" s="75" t="s">
        <v>555</v>
      </c>
      <c r="G2" s="74">
        <f t="shared" ref="G2:G65" si="1">EDATE(F2,6)</f>
        <v>46341</v>
      </c>
      <c r="H2" s="19">
        <v>5.6950000000000003</v>
      </c>
      <c r="I2" s="71" t="s">
        <v>19</v>
      </c>
      <c r="J2" s="164" t="s">
        <v>6</v>
      </c>
      <c r="K2" s="164" t="s">
        <v>732</v>
      </c>
      <c r="L2" s="165" t="s">
        <v>15</v>
      </c>
      <c r="M2" s="21">
        <v>1</v>
      </c>
      <c r="N2" s="21"/>
      <c r="O2" s="21">
        <v>0</v>
      </c>
      <c r="P2" s="66">
        <f>M2</f>
        <v>1</v>
      </c>
      <c r="Q2" s="66"/>
      <c r="R2" s="67">
        <v>0</v>
      </c>
      <c r="S2" s="67"/>
      <c r="T2" s="51"/>
      <c r="U2" s="87" t="s">
        <v>933</v>
      </c>
      <c r="V2" s="137" t="s">
        <v>927</v>
      </c>
      <c r="W2" s="49" t="s">
        <v>674</v>
      </c>
      <c r="X2" t="str">
        <f>VLOOKUP(B2,'Sukuk Details'!$A$3:$P$224,2,FALSE)</f>
        <v>Abu Dhabi Islamic Bank PJSC (1)</v>
      </c>
      <c r="Z2" t="b">
        <f t="shared" ref="Z2:Z65" si="2">AA2=A2</f>
        <v>1</v>
      </c>
      <c r="AA2" s="49" t="s">
        <v>674</v>
      </c>
      <c r="AB2" s="67">
        <f>R2*0.025</f>
        <v>0</v>
      </c>
      <c r="AC2" s="151">
        <f>200000*AB2</f>
        <v>0</v>
      </c>
      <c r="AD2" s="152">
        <f ca="1">((Main!$C$4-E2)*(200000*(H2/100))/360)*0.025</f>
        <v>75.142361111111114</v>
      </c>
      <c r="AE2" s="152">
        <f ca="1">AD2+AC2</f>
        <v>75.142361111111114</v>
      </c>
      <c r="AF2" s="153">
        <f ca="1">AE2*3.6725</f>
        <v>275.96032118055558</v>
      </c>
      <c r="AG2" s="151"/>
      <c r="AH2" s="67">
        <f>R2*0.02577</f>
        <v>0</v>
      </c>
      <c r="AI2" s="151">
        <f>200000*AH2</f>
        <v>0</v>
      </c>
      <c r="AJ2">
        <f ca="1">((Main!$C$4-E2)*(200000*(H2/100))/360)*0.02577</f>
        <v>77.456745833333329</v>
      </c>
      <c r="AK2" s="152">
        <f ca="1">AJ2+AI2</f>
        <v>77.456745833333329</v>
      </c>
      <c r="AL2" s="153">
        <f ca="1">AK2*3.6725</f>
        <v>284.45989907291664</v>
      </c>
    </row>
    <row r="3" spans="1:38" ht="12.75" customHeight="1" x14ac:dyDescent="0.35">
      <c r="A3" s="46" t="s">
        <v>675</v>
      </c>
      <c r="B3" s="38" t="s">
        <v>30</v>
      </c>
      <c r="C3" s="46" t="s">
        <v>675</v>
      </c>
      <c r="D3" s="22" t="s">
        <v>31</v>
      </c>
      <c r="E3" s="75">
        <f t="shared" si="0"/>
        <v>46040</v>
      </c>
      <c r="F3" s="75" t="s">
        <v>556</v>
      </c>
      <c r="G3" s="74">
        <f t="shared" si="1"/>
        <v>46405</v>
      </c>
      <c r="H3" s="19">
        <v>7.25</v>
      </c>
      <c r="I3" s="71" t="s">
        <v>19</v>
      </c>
      <c r="J3" s="2" t="s">
        <v>11</v>
      </c>
      <c r="K3" s="2" t="s">
        <v>751</v>
      </c>
      <c r="L3" s="2" t="s">
        <v>12</v>
      </c>
      <c r="M3" s="3">
        <v>1</v>
      </c>
      <c r="N3" s="104">
        <v>2.0523881661753299E-2</v>
      </c>
      <c r="O3" s="3">
        <v>0</v>
      </c>
      <c r="P3" s="39">
        <v>0</v>
      </c>
      <c r="Q3" s="84"/>
      <c r="R3" s="67">
        <v>1</v>
      </c>
      <c r="S3" s="105">
        <v>2.0523881661753299E-2</v>
      </c>
      <c r="T3" s="105"/>
      <c r="U3" s="87" t="s">
        <v>937</v>
      </c>
      <c r="V3" s="141" t="s">
        <v>936</v>
      </c>
      <c r="W3" s="46" t="s">
        <v>675</v>
      </c>
      <c r="Z3" t="b">
        <f t="shared" si="2"/>
        <v>1</v>
      </c>
      <c r="AA3" s="46" t="s">
        <v>675</v>
      </c>
      <c r="AB3" s="67">
        <f>R3*0.0205238816617533</f>
        <v>2.0523881661753299E-2</v>
      </c>
      <c r="AC3" s="151">
        <f t="shared" ref="AC3:AC66" si="3">200000*AB3</f>
        <v>4104.7763323506597</v>
      </c>
      <c r="AD3" s="152">
        <f ca="1">((Main!$C$4-E3)*(200000*(H3/100))/360)*0.025</f>
        <v>31.215277777777771</v>
      </c>
      <c r="AE3" s="152">
        <f t="shared" ref="AE3:AE66" ca="1" si="4">AD3+AC3</f>
        <v>4135.9916101284371</v>
      </c>
      <c r="AF3" s="153">
        <f t="shared" ref="AF3:AF66" ca="1" si="5">AE3*3.6725</f>
        <v>15189.429188196684</v>
      </c>
      <c r="AH3" s="67">
        <f>R3*0.0205238816617533</f>
        <v>2.0523881661753299E-2</v>
      </c>
      <c r="AI3" s="151">
        <f t="shared" ref="AI3:AI66" si="6">200000*AH3</f>
        <v>4104.7763323506597</v>
      </c>
      <c r="AJ3">
        <f ca="1">((Main!$C$4-E3)*(200000*(H3/100))/360)*0.02577</f>
        <v>32.17670833333333</v>
      </c>
      <c r="AK3" s="152">
        <f t="shared" ref="AK3:AK66" ca="1" si="7">AJ3+AI3</f>
        <v>4136.9530406839931</v>
      </c>
      <c r="AL3" s="153">
        <f t="shared" ref="AL3:AL66" ca="1" si="8">AK3*3.6725</f>
        <v>15192.960041911963</v>
      </c>
    </row>
    <row r="4" spans="1:38" ht="12.75" customHeight="1" x14ac:dyDescent="0.35">
      <c r="A4" s="46" t="s">
        <v>32</v>
      </c>
      <c r="B4" s="38" t="s">
        <v>33</v>
      </c>
      <c r="C4" s="46" t="s">
        <v>32</v>
      </c>
      <c r="D4" s="22" t="s">
        <v>34</v>
      </c>
      <c r="E4" s="75">
        <f t="shared" si="0"/>
        <v>45967</v>
      </c>
      <c r="F4" s="75" t="s">
        <v>557</v>
      </c>
      <c r="G4" s="74">
        <f t="shared" si="1"/>
        <v>46332</v>
      </c>
      <c r="H4" s="19">
        <v>4.75</v>
      </c>
      <c r="I4" s="71" t="s">
        <v>19</v>
      </c>
      <c r="J4" s="2" t="s">
        <v>6</v>
      </c>
      <c r="K4" s="2" t="s">
        <v>733</v>
      </c>
      <c r="L4" s="2" t="s">
        <v>7</v>
      </c>
      <c r="M4" s="3">
        <v>1</v>
      </c>
      <c r="N4" s="3"/>
      <c r="O4" s="3">
        <v>0</v>
      </c>
      <c r="P4" s="39">
        <v>0</v>
      </c>
      <c r="Q4" s="84"/>
      <c r="R4" s="67">
        <v>1</v>
      </c>
      <c r="S4" s="67"/>
      <c r="T4" s="40"/>
      <c r="U4" s="87" t="s">
        <v>941</v>
      </c>
      <c r="V4" s="137" t="s">
        <v>942</v>
      </c>
      <c r="W4" s="46" t="s">
        <v>32</v>
      </c>
      <c r="Z4" t="b">
        <f t="shared" si="2"/>
        <v>1</v>
      </c>
      <c r="AA4" s="46" t="s">
        <v>32</v>
      </c>
      <c r="AB4" s="67">
        <f t="shared" ref="AB4:AB67" si="9">R4*0.025</f>
        <v>2.5000000000000001E-2</v>
      </c>
      <c r="AC4" s="151">
        <f t="shared" si="3"/>
        <v>5000</v>
      </c>
      <c r="AD4" s="152">
        <f ca="1">((Main!$C$4-E4)*(200000*(H4/100))/360)*0.025</f>
        <v>68.611111111111114</v>
      </c>
      <c r="AE4" s="152">
        <f t="shared" ca="1" si="4"/>
        <v>5068.6111111111113</v>
      </c>
      <c r="AF4" s="153">
        <f t="shared" ca="1" si="5"/>
        <v>18614.474305555555</v>
      </c>
      <c r="AH4" s="67">
        <f t="shared" ref="AH4:AH67" si="10">R4*0.02577</f>
        <v>2.5770000000000001E-2</v>
      </c>
      <c r="AI4" s="151">
        <f t="shared" si="6"/>
        <v>5154</v>
      </c>
      <c r="AJ4">
        <f ca="1">((Main!$C$4-E4)*(200000*(H4/100))/360)*0.02577</f>
        <v>70.724333333333334</v>
      </c>
      <c r="AK4" s="152">
        <f t="shared" ca="1" si="7"/>
        <v>5224.7243333333336</v>
      </c>
      <c r="AL4" s="153">
        <f t="shared" ca="1" si="8"/>
        <v>19187.800114166668</v>
      </c>
    </row>
    <row r="5" spans="1:38" ht="12.75" customHeight="1" x14ac:dyDescent="0.35">
      <c r="A5" s="46" t="s">
        <v>35</v>
      </c>
      <c r="B5" s="38" t="s">
        <v>36</v>
      </c>
      <c r="C5" s="46" t="s">
        <v>35</v>
      </c>
      <c r="D5" s="22" t="s">
        <v>37</v>
      </c>
      <c r="E5" s="75">
        <f t="shared" si="0"/>
        <v>45933</v>
      </c>
      <c r="F5" s="75" t="s">
        <v>558</v>
      </c>
      <c r="G5" s="74">
        <f t="shared" si="1"/>
        <v>46298</v>
      </c>
      <c r="H5" s="19">
        <v>4.5</v>
      </c>
      <c r="I5" s="71" t="s">
        <v>19</v>
      </c>
      <c r="J5" s="2" t="s">
        <v>6</v>
      </c>
      <c r="K5" s="2" t="s">
        <v>762</v>
      </c>
      <c r="L5" s="64" t="s">
        <v>38</v>
      </c>
      <c r="M5" s="3">
        <v>1</v>
      </c>
      <c r="N5" s="3"/>
      <c r="O5" s="3">
        <v>0</v>
      </c>
      <c r="P5" s="69">
        <v>0</v>
      </c>
      <c r="Q5" s="85"/>
      <c r="R5" s="67">
        <v>0</v>
      </c>
      <c r="S5" s="67"/>
      <c r="T5" s="40"/>
      <c r="U5" s="87" t="s">
        <v>933</v>
      </c>
      <c r="V5" s="137" t="s">
        <v>927</v>
      </c>
      <c r="W5" s="46" t="s">
        <v>35</v>
      </c>
      <c r="Z5" t="b">
        <f t="shared" si="2"/>
        <v>1</v>
      </c>
      <c r="AA5" s="46" t="s">
        <v>35</v>
      </c>
      <c r="AB5" s="67">
        <f t="shared" si="9"/>
        <v>0</v>
      </c>
      <c r="AC5" s="151">
        <f t="shared" si="3"/>
        <v>0</v>
      </c>
      <c r="AD5" s="152">
        <f ca="1">((Main!$C$4-E5)*(200000*(H5/100))/360)*0.025</f>
        <v>86.25</v>
      </c>
      <c r="AE5" s="152">
        <f t="shared" ca="1" si="4"/>
        <v>86.25</v>
      </c>
      <c r="AF5" s="153">
        <f t="shared" ca="1" si="5"/>
        <v>316.75312500000001</v>
      </c>
      <c r="AH5" s="67">
        <f t="shared" si="10"/>
        <v>0</v>
      </c>
      <c r="AI5" s="151">
        <f t="shared" si="6"/>
        <v>0</v>
      </c>
      <c r="AJ5">
        <f ca="1">((Main!$C$4-E5)*(200000*(H5/100))/360)*0.02577</f>
        <v>88.906500000000008</v>
      </c>
      <c r="AK5" s="152">
        <f t="shared" ca="1" si="7"/>
        <v>88.906500000000008</v>
      </c>
      <c r="AL5" s="153">
        <f t="shared" ca="1" si="8"/>
        <v>326.50912125000002</v>
      </c>
    </row>
    <row r="6" spans="1:38" ht="12.75" customHeight="1" x14ac:dyDescent="0.35">
      <c r="A6" s="110" t="s">
        <v>39</v>
      </c>
      <c r="B6" s="38" t="s">
        <v>40</v>
      </c>
      <c r="C6" s="110" t="s">
        <v>39</v>
      </c>
      <c r="D6" s="22" t="s">
        <v>41</v>
      </c>
      <c r="E6" s="75">
        <f t="shared" si="0"/>
        <v>46008</v>
      </c>
      <c r="F6" s="75" t="s">
        <v>559</v>
      </c>
      <c r="G6" s="74">
        <f t="shared" si="1"/>
        <v>46373</v>
      </c>
      <c r="H6" s="19">
        <v>3.875</v>
      </c>
      <c r="I6" s="71" t="s">
        <v>19</v>
      </c>
      <c r="J6" s="2" t="s">
        <v>11</v>
      </c>
      <c r="K6" s="2" t="s">
        <v>751</v>
      </c>
      <c r="L6" s="64" t="s">
        <v>12</v>
      </c>
      <c r="M6" s="3">
        <v>1</v>
      </c>
      <c r="N6" s="3"/>
      <c r="O6" s="3">
        <v>0</v>
      </c>
      <c r="P6" s="69">
        <v>0</v>
      </c>
      <c r="Q6" s="85"/>
      <c r="R6" s="67">
        <v>0</v>
      </c>
      <c r="S6" s="67"/>
      <c r="T6" s="40"/>
      <c r="U6" s="87" t="s">
        <v>937</v>
      </c>
      <c r="V6" s="141" t="s">
        <v>936</v>
      </c>
      <c r="W6" s="110" t="s">
        <v>39</v>
      </c>
      <c r="Z6" t="b">
        <f t="shared" si="2"/>
        <v>1</v>
      </c>
      <c r="AA6" s="110" t="s">
        <v>39</v>
      </c>
      <c r="AB6" s="67">
        <f t="shared" si="9"/>
        <v>0</v>
      </c>
      <c r="AC6" s="151">
        <f t="shared" si="3"/>
        <v>0</v>
      </c>
      <c r="AD6" s="152">
        <f ca="1">((Main!$C$4-E6)*(200000*(H6/100))/360)*0.025</f>
        <v>33.90625</v>
      </c>
      <c r="AE6" s="152">
        <f t="shared" ca="1" si="4"/>
        <v>33.90625</v>
      </c>
      <c r="AF6" s="153">
        <f t="shared" ca="1" si="5"/>
        <v>124.520703125</v>
      </c>
      <c r="AH6" s="67">
        <f t="shared" si="10"/>
        <v>0</v>
      </c>
      <c r="AI6" s="151">
        <f t="shared" si="6"/>
        <v>0</v>
      </c>
      <c r="AJ6">
        <f ca="1">((Main!$C$4-E6)*(200000*(H6/100))/360)*0.02577</f>
        <v>34.950562500000004</v>
      </c>
      <c r="AK6" s="152">
        <f t="shared" ca="1" si="7"/>
        <v>34.950562500000004</v>
      </c>
      <c r="AL6" s="153">
        <f t="shared" ca="1" si="8"/>
        <v>128.35594078125001</v>
      </c>
    </row>
    <row r="7" spans="1:38" ht="12.75" customHeight="1" x14ac:dyDescent="0.35">
      <c r="A7" s="46" t="s">
        <v>98</v>
      </c>
      <c r="B7" s="38" t="s">
        <v>99</v>
      </c>
      <c r="C7" s="46" t="s">
        <v>98</v>
      </c>
      <c r="D7" s="22" t="s">
        <v>100</v>
      </c>
      <c r="E7" s="75">
        <f t="shared" si="0"/>
        <v>45909</v>
      </c>
      <c r="F7" s="75" t="s">
        <v>565</v>
      </c>
      <c r="G7" s="74">
        <f t="shared" si="1"/>
        <v>46274</v>
      </c>
      <c r="H7" s="19">
        <v>2.6150000000000002</v>
      </c>
      <c r="I7" s="71" t="s">
        <v>19</v>
      </c>
      <c r="J7" s="2" t="s">
        <v>54</v>
      </c>
      <c r="K7" s="2" t="s">
        <v>760</v>
      </c>
      <c r="L7" s="1" t="s">
        <v>64</v>
      </c>
      <c r="M7" s="3">
        <v>0.51</v>
      </c>
      <c r="N7" s="3"/>
      <c r="O7" s="3">
        <v>0.49</v>
      </c>
      <c r="P7" s="3">
        <v>0.51</v>
      </c>
      <c r="Q7" s="84"/>
      <c r="R7" s="67">
        <v>0.49</v>
      </c>
      <c r="S7" s="67"/>
      <c r="T7" s="40" t="s">
        <v>548</v>
      </c>
      <c r="U7" s="87" t="s">
        <v>946</v>
      </c>
      <c r="V7" s="137" t="s">
        <v>947</v>
      </c>
      <c r="W7" s="46" t="s">
        <v>98</v>
      </c>
      <c r="Z7" t="b">
        <f t="shared" si="2"/>
        <v>1</v>
      </c>
      <c r="AA7" s="46" t="s">
        <v>98</v>
      </c>
      <c r="AB7" s="67">
        <f t="shared" si="9"/>
        <v>1.225E-2</v>
      </c>
      <c r="AC7" s="151">
        <f t="shared" si="3"/>
        <v>2450</v>
      </c>
      <c r="AD7" s="152">
        <f ca="1">((Main!$C$4-E7)*(200000*(H7/100))/360)*0.025</f>
        <v>58.837500000000013</v>
      </c>
      <c r="AE7" s="152">
        <f t="shared" ca="1" si="4"/>
        <v>2508.8375000000001</v>
      </c>
      <c r="AF7" s="153">
        <f t="shared" ca="1" si="5"/>
        <v>9213.7057187499995</v>
      </c>
      <c r="AH7" s="67">
        <f t="shared" si="10"/>
        <v>1.2627300000000001E-2</v>
      </c>
      <c r="AI7" s="151">
        <f t="shared" si="6"/>
        <v>2525.46</v>
      </c>
      <c r="AJ7">
        <f ca="1">((Main!$C$4-E7)*(200000*(H7/100))/360)*0.02577</f>
        <v>60.649695000000015</v>
      </c>
      <c r="AK7" s="152">
        <f t="shared" ca="1" si="7"/>
        <v>2586.1096950000001</v>
      </c>
      <c r="AL7" s="153">
        <f t="shared" ca="1" si="8"/>
        <v>9497.4878548875004</v>
      </c>
    </row>
    <row r="8" spans="1:38" ht="106.5" customHeight="1" x14ac:dyDescent="0.35">
      <c r="A8" s="46" t="s">
        <v>49</v>
      </c>
      <c r="B8" s="38" t="s">
        <v>50</v>
      </c>
      <c r="C8" s="46" t="s">
        <v>49</v>
      </c>
      <c r="D8" s="22" t="s">
        <v>51</v>
      </c>
      <c r="E8" s="75">
        <f t="shared" si="0"/>
        <v>45931</v>
      </c>
      <c r="F8" s="75" t="s">
        <v>561</v>
      </c>
      <c r="G8" s="74">
        <f t="shared" si="1"/>
        <v>46296</v>
      </c>
      <c r="H8" s="19">
        <v>5.85</v>
      </c>
      <c r="I8" s="71" t="s">
        <v>19</v>
      </c>
      <c r="J8" s="2" t="s">
        <v>6</v>
      </c>
      <c r="K8" s="2" t="s">
        <v>762</v>
      </c>
      <c r="L8" s="64" t="s">
        <v>38</v>
      </c>
      <c r="M8" s="3">
        <v>1</v>
      </c>
      <c r="N8" s="3"/>
      <c r="O8" s="3">
        <v>0</v>
      </c>
      <c r="P8" s="69">
        <v>0</v>
      </c>
      <c r="Q8" s="85"/>
      <c r="R8" s="67">
        <v>0</v>
      </c>
      <c r="S8" s="67"/>
      <c r="T8" s="40"/>
      <c r="U8" s="87" t="s">
        <v>933</v>
      </c>
      <c r="V8" s="137" t="s">
        <v>927</v>
      </c>
      <c r="W8" s="46" t="s">
        <v>49</v>
      </c>
      <c r="Z8" t="b">
        <f t="shared" si="2"/>
        <v>1</v>
      </c>
      <c r="AA8" s="46" t="s">
        <v>49</v>
      </c>
      <c r="AB8" s="67">
        <f t="shared" si="9"/>
        <v>0</v>
      </c>
      <c r="AC8" s="151">
        <f t="shared" si="3"/>
        <v>0</v>
      </c>
      <c r="AD8" s="152">
        <f ca="1">((Main!$C$4-E8)*(200000*(H8/100))/360)*0.025</f>
        <v>113.75</v>
      </c>
      <c r="AE8" s="152">
        <f t="shared" ca="1" si="4"/>
        <v>113.75</v>
      </c>
      <c r="AF8" s="153">
        <f t="shared" ca="1" si="5"/>
        <v>417.74687499999999</v>
      </c>
      <c r="AH8" s="67">
        <f t="shared" si="10"/>
        <v>0</v>
      </c>
      <c r="AI8" s="151">
        <f t="shared" si="6"/>
        <v>0</v>
      </c>
      <c r="AJ8">
        <f ca="1">((Main!$C$4-E8)*(200000*(H8/100))/360)*0.02577</f>
        <v>117.2535</v>
      </c>
      <c r="AK8" s="152">
        <f t="shared" ca="1" si="7"/>
        <v>117.2535</v>
      </c>
      <c r="AL8" s="153">
        <f t="shared" ca="1" si="8"/>
        <v>430.61347875000001</v>
      </c>
    </row>
    <row r="9" spans="1:38" ht="188.5" x14ac:dyDescent="0.35">
      <c r="A9" s="46" t="s">
        <v>42</v>
      </c>
      <c r="B9" s="38" t="s">
        <v>43</v>
      </c>
      <c r="C9" s="46" t="s">
        <v>42</v>
      </c>
      <c r="D9" s="22" t="s">
        <v>44</v>
      </c>
      <c r="E9" s="75">
        <f t="shared" si="0"/>
        <v>45960</v>
      </c>
      <c r="F9" s="75" t="s">
        <v>562</v>
      </c>
      <c r="G9" s="74">
        <f t="shared" si="1"/>
        <v>46325</v>
      </c>
      <c r="H9" s="19">
        <v>5.125</v>
      </c>
      <c r="I9" s="71" t="s">
        <v>19</v>
      </c>
      <c r="J9" s="158" t="s">
        <v>6</v>
      </c>
      <c r="K9" s="162" t="s">
        <v>732</v>
      </c>
      <c r="L9" s="159" t="s">
        <v>45</v>
      </c>
      <c r="M9" s="3">
        <v>1</v>
      </c>
      <c r="N9" s="3"/>
      <c r="O9" s="3">
        <v>0</v>
      </c>
      <c r="P9" s="69">
        <f>M9</f>
        <v>1</v>
      </c>
      <c r="Q9" s="85"/>
      <c r="R9" s="67">
        <v>0.66669999999999996</v>
      </c>
      <c r="S9" s="67"/>
      <c r="T9" s="40"/>
      <c r="U9" s="161" t="s">
        <v>949</v>
      </c>
      <c r="V9" s="174" t="s">
        <v>962</v>
      </c>
      <c r="W9" s="46" t="s">
        <v>42</v>
      </c>
      <c r="Z9" t="b">
        <f t="shared" si="2"/>
        <v>1</v>
      </c>
      <c r="AA9" s="46" t="s">
        <v>42</v>
      </c>
      <c r="AB9" s="67">
        <f t="shared" si="9"/>
        <v>1.6667499999999998E-2</v>
      </c>
      <c r="AC9" s="151">
        <f t="shared" si="3"/>
        <v>3333.4999999999995</v>
      </c>
      <c r="AD9" s="152">
        <f ca="1">((Main!$C$4-E9)*(200000*(H9/100))/360)*0.025</f>
        <v>79.010416666666671</v>
      </c>
      <c r="AE9" s="152">
        <f t="shared" ca="1" si="4"/>
        <v>3412.5104166666661</v>
      </c>
      <c r="AF9" s="153">
        <f t="shared" ca="1" si="5"/>
        <v>12532.44450520833</v>
      </c>
      <c r="AH9" s="67">
        <f t="shared" si="10"/>
        <v>1.7180859E-2</v>
      </c>
      <c r="AI9" s="151">
        <f t="shared" si="6"/>
        <v>3436.1718000000001</v>
      </c>
      <c r="AJ9">
        <f ca="1">((Main!$C$4-E9)*(200000*(H9/100))/360)*0.02577</f>
        <v>81.443937500000004</v>
      </c>
      <c r="AK9" s="152">
        <f t="shared" ca="1" si="7"/>
        <v>3517.6157375000003</v>
      </c>
      <c r="AL9" s="153">
        <f t="shared" ca="1" si="8"/>
        <v>12918.443795968751</v>
      </c>
    </row>
    <row r="10" spans="1:38" ht="12.75" customHeight="1" x14ac:dyDescent="0.35">
      <c r="A10" s="46" t="s">
        <v>13</v>
      </c>
      <c r="B10" s="38" t="s">
        <v>105</v>
      </c>
      <c r="C10" s="46" t="s">
        <v>13</v>
      </c>
      <c r="D10" s="22" t="s">
        <v>106</v>
      </c>
      <c r="E10" s="75">
        <f t="shared" si="0"/>
        <v>45991</v>
      </c>
      <c r="F10" s="75" t="s">
        <v>563</v>
      </c>
      <c r="G10" s="74">
        <f t="shared" si="1"/>
        <v>46356</v>
      </c>
      <c r="H10" s="19">
        <v>8.7750000000000004</v>
      </c>
      <c r="I10" s="71" t="s">
        <v>19</v>
      </c>
      <c r="J10" s="2" t="s">
        <v>11</v>
      </c>
      <c r="K10" s="2" t="s">
        <v>751</v>
      </c>
      <c r="L10" s="2" t="s">
        <v>12</v>
      </c>
      <c r="M10" s="3">
        <v>1</v>
      </c>
      <c r="N10" s="3"/>
      <c r="O10" s="3">
        <v>0</v>
      </c>
      <c r="P10" s="69">
        <v>0</v>
      </c>
      <c r="Q10" s="85"/>
      <c r="R10" s="67">
        <v>1</v>
      </c>
      <c r="S10" s="67"/>
      <c r="T10" s="40"/>
      <c r="U10" s="87" t="s">
        <v>937</v>
      </c>
      <c r="V10" s="141" t="s">
        <v>936</v>
      </c>
      <c r="W10" s="46" t="s">
        <v>13</v>
      </c>
      <c r="Z10" t="b">
        <f t="shared" si="2"/>
        <v>1</v>
      </c>
      <c r="AA10" s="46" t="s">
        <v>13</v>
      </c>
      <c r="AB10" s="67">
        <f t="shared" si="9"/>
        <v>2.5000000000000001E-2</v>
      </c>
      <c r="AC10" s="151">
        <f t="shared" si="3"/>
        <v>5000</v>
      </c>
      <c r="AD10" s="152">
        <f ca="1">((Main!$C$4-E10)*(200000*(H10/100))/360)*0.025</f>
        <v>97.5</v>
      </c>
      <c r="AE10" s="152">
        <f t="shared" ca="1" si="4"/>
        <v>5097.5</v>
      </c>
      <c r="AF10" s="153">
        <f t="shared" ca="1" si="5"/>
        <v>18720.568749999999</v>
      </c>
      <c r="AH10" s="67">
        <f t="shared" si="10"/>
        <v>2.5770000000000001E-2</v>
      </c>
      <c r="AI10" s="151">
        <f t="shared" si="6"/>
        <v>5154</v>
      </c>
      <c r="AJ10">
        <f ca="1">((Main!$C$4-E10)*(200000*(H10/100))/360)*0.02577</f>
        <v>100.503</v>
      </c>
      <c r="AK10" s="152">
        <f t="shared" ca="1" si="7"/>
        <v>5254.5029999999997</v>
      </c>
      <c r="AL10" s="153">
        <f t="shared" ca="1" si="8"/>
        <v>19297.1622675</v>
      </c>
    </row>
    <row r="11" spans="1:38" ht="12.75" customHeight="1" x14ac:dyDescent="0.35">
      <c r="A11" s="110" t="s">
        <v>676</v>
      </c>
      <c r="B11" s="77" t="s">
        <v>426</v>
      </c>
      <c r="C11" s="110" t="s">
        <v>676</v>
      </c>
      <c r="D11" s="78" t="s">
        <v>427</v>
      </c>
      <c r="E11" s="75">
        <f t="shared" si="0"/>
        <v>46043</v>
      </c>
      <c r="F11" s="75" t="s">
        <v>566</v>
      </c>
      <c r="G11" s="74">
        <f t="shared" si="1"/>
        <v>46408</v>
      </c>
      <c r="H11" s="19">
        <v>6.25</v>
      </c>
      <c r="I11" s="71" t="s">
        <v>19</v>
      </c>
      <c r="J11" s="2" t="s">
        <v>11</v>
      </c>
      <c r="K11" s="2" t="s">
        <v>751</v>
      </c>
      <c r="L11" s="2" t="s">
        <v>12</v>
      </c>
      <c r="M11" s="3">
        <v>1</v>
      </c>
      <c r="N11" s="3"/>
      <c r="O11" s="3">
        <v>0</v>
      </c>
      <c r="P11" s="69">
        <v>0</v>
      </c>
      <c r="Q11" s="85"/>
      <c r="R11" s="67">
        <v>0</v>
      </c>
      <c r="S11" s="67"/>
      <c r="T11" s="40"/>
      <c r="U11" s="87" t="s">
        <v>937</v>
      </c>
      <c r="V11" s="141" t="s">
        <v>936</v>
      </c>
      <c r="W11" s="110" t="s">
        <v>676</v>
      </c>
      <c r="Z11" t="b">
        <f t="shared" si="2"/>
        <v>1</v>
      </c>
      <c r="AA11" s="110" t="s">
        <v>676</v>
      </c>
      <c r="AB11" s="67">
        <f t="shared" si="9"/>
        <v>0</v>
      </c>
      <c r="AC11" s="151">
        <f t="shared" si="3"/>
        <v>0</v>
      </c>
      <c r="AD11" s="152">
        <f ca="1">((Main!$C$4-E11)*(200000*(H11/100))/360)*0.025</f>
        <v>24.305555555555557</v>
      </c>
      <c r="AE11" s="152">
        <f t="shared" ca="1" si="4"/>
        <v>24.305555555555557</v>
      </c>
      <c r="AF11" s="153">
        <f t="shared" ca="1" si="5"/>
        <v>89.262152777777786</v>
      </c>
      <c r="AH11" s="67">
        <f t="shared" si="10"/>
        <v>0</v>
      </c>
      <c r="AI11" s="151">
        <f t="shared" si="6"/>
        <v>0</v>
      </c>
      <c r="AJ11">
        <f ca="1">((Main!$C$4-E11)*(200000*(H11/100))/360)*0.02577</f>
        <v>25.054166666666667</v>
      </c>
      <c r="AK11" s="152">
        <f t="shared" ca="1" si="7"/>
        <v>25.054166666666667</v>
      </c>
      <c r="AL11" s="153">
        <f t="shared" ca="1" si="8"/>
        <v>92.011427083333331</v>
      </c>
    </row>
    <row r="12" spans="1:38" ht="12.75" customHeight="1" x14ac:dyDescent="0.35">
      <c r="A12" s="46" t="s">
        <v>677</v>
      </c>
      <c r="B12" s="38" t="s">
        <v>422</v>
      </c>
      <c r="C12" s="46" t="s">
        <v>677</v>
      </c>
      <c r="D12" s="22" t="s">
        <v>423</v>
      </c>
      <c r="E12" s="75">
        <f t="shared" si="0"/>
        <v>45980</v>
      </c>
      <c r="F12" s="75" t="s">
        <v>575</v>
      </c>
      <c r="G12" s="74">
        <f t="shared" si="1"/>
        <v>46345</v>
      </c>
      <c r="H12" s="19">
        <v>4.8650000000000002</v>
      </c>
      <c r="I12" s="71" t="s">
        <v>19</v>
      </c>
      <c r="J12" s="2" t="s">
        <v>54</v>
      </c>
      <c r="K12" s="2" t="s">
        <v>760</v>
      </c>
      <c r="L12" s="1" t="s">
        <v>338</v>
      </c>
      <c r="M12" s="3">
        <v>0.51</v>
      </c>
      <c r="N12" s="3"/>
      <c r="O12" s="3">
        <v>0.49</v>
      </c>
      <c r="P12" s="3">
        <f>M12</f>
        <v>0.51</v>
      </c>
      <c r="Q12" s="84"/>
      <c r="R12" s="67">
        <v>0.49</v>
      </c>
      <c r="S12" s="67"/>
      <c r="T12" s="40" t="s">
        <v>548</v>
      </c>
      <c r="U12" s="87" t="s">
        <v>946</v>
      </c>
      <c r="V12" s="137" t="s">
        <v>947</v>
      </c>
      <c r="W12" s="46" t="s">
        <v>677</v>
      </c>
      <c r="Z12" t="b">
        <f t="shared" si="2"/>
        <v>1</v>
      </c>
      <c r="AA12" s="46" t="s">
        <v>677</v>
      </c>
      <c r="AB12" s="67">
        <f t="shared" si="9"/>
        <v>1.225E-2</v>
      </c>
      <c r="AC12" s="151">
        <f t="shared" si="3"/>
        <v>2450</v>
      </c>
      <c r="AD12" s="152">
        <f ca="1">((Main!$C$4-E12)*(200000*(H12/100))/360)*0.025</f>
        <v>61.488194444444446</v>
      </c>
      <c r="AE12" s="152">
        <f t="shared" ca="1" si="4"/>
        <v>2511.4881944444446</v>
      </c>
      <c r="AF12" s="153">
        <f t="shared" ca="1" si="5"/>
        <v>9223.4403940972225</v>
      </c>
      <c r="AH12" s="67">
        <f t="shared" si="10"/>
        <v>1.2627300000000001E-2</v>
      </c>
      <c r="AI12" s="151">
        <f t="shared" si="6"/>
        <v>2525.46</v>
      </c>
      <c r="AJ12">
        <f ca="1">((Main!$C$4-E12)*(200000*(H12/100))/360)*0.02577</f>
        <v>63.382030833333339</v>
      </c>
      <c r="AK12" s="152">
        <f t="shared" ca="1" si="7"/>
        <v>2588.8420308333334</v>
      </c>
      <c r="AL12" s="153">
        <f t="shared" ca="1" si="8"/>
        <v>9507.5223582354174</v>
      </c>
    </row>
    <row r="13" spans="1:38" ht="12.75" customHeight="1" x14ac:dyDescent="0.35">
      <c r="A13" s="110" t="s">
        <v>715</v>
      </c>
      <c r="B13" s="38" t="s">
        <v>428</v>
      </c>
      <c r="C13" s="110" t="s">
        <v>715</v>
      </c>
      <c r="D13" s="22" t="s">
        <v>429</v>
      </c>
      <c r="E13" s="75">
        <f t="shared" si="0"/>
        <v>45977</v>
      </c>
      <c r="F13" s="75" t="s">
        <v>567</v>
      </c>
      <c r="G13" s="74">
        <f t="shared" si="1"/>
        <v>46342</v>
      </c>
      <c r="H13" s="19">
        <v>6.375</v>
      </c>
      <c r="I13" s="71" t="s">
        <v>19</v>
      </c>
      <c r="J13" s="2" t="s">
        <v>11</v>
      </c>
      <c r="K13" s="2" t="s">
        <v>751</v>
      </c>
      <c r="L13" s="2" t="s">
        <v>12</v>
      </c>
      <c r="M13" s="3">
        <v>1</v>
      </c>
      <c r="N13" s="3"/>
      <c r="O13" s="3">
        <v>0</v>
      </c>
      <c r="P13" s="69">
        <v>0</v>
      </c>
      <c r="Q13" s="85"/>
      <c r="R13" s="67">
        <v>0</v>
      </c>
      <c r="S13" s="67"/>
      <c r="T13" s="40"/>
      <c r="U13" s="87" t="s">
        <v>937</v>
      </c>
      <c r="V13" s="141" t="s">
        <v>936</v>
      </c>
      <c r="W13" s="110" t="s">
        <v>715</v>
      </c>
      <c r="Z13" t="b">
        <f t="shared" si="2"/>
        <v>1</v>
      </c>
      <c r="AA13" s="110" t="s">
        <v>715</v>
      </c>
      <c r="AB13" s="67">
        <f t="shared" si="9"/>
        <v>0</v>
      </c>
      <c r="AC13" s="151">
        <f t="shared" si="3"/>
        <v>0</v>
      </c>
      <c r="AD13" s="152">
        <f ca="1">((Main!$C$4-E13)*(200000*(H13/100))/360)*0.025</f>
        <v>83.229166666666671</v>
      </c>
      <c r="AE13" s="152">
        <f t="shared" ca="1" si="4"/>
        <v>83.229166666666671</v>
      </c>
      <c r="AF13" s="153">
        <f t="shared" ca="1" si="5"/>
        <v>305.65911458333335</v>
      </c>
      <c r="AH13" s="67">
        <f t="shared" si="10"/>
        <v>0</v>
      </c>
      <c r="AI13" s="151">
        <f t="shared" si="6"/>
        <v>0</v>
      </c>
      <c r="AJ13">
        <f ca="1">((Main!$C$4-E13)*(200000*(H13/100))/360)*0.02577</f>
        <v>85.792625000000001</v>
      </c>
      <c r="AK13" s="152">
        <f t="shared" ca="1" si="7"/>
        <v>85.792625000000001</v>
      </c>
      <c r="AL13" s="153">
        <f t="shared" ca="1" si="8"/>
        <v>315.0734153125</v>
      </c>
    </row>
    <row r="14" spans="1:38" ht="12.75" customHeight="1" x14ac:dyDescent="0.35">
      <c r="A14" s="46" t="s">
        <v>716</v>
      </c>
      <c r="B14" s="38" t="s">
        <v>424</v>
      </c>
      <c r="C14" s="46" t="s">
        <v>716</v>
      </c>
      <c r="D14" s="22" t="s">
        <v>425</v>
      </c>
      <c r="E14" s="75">
        <f t="shared" si="0"/>
        <v>45912</v>
      </c>
      <c r="F14" s="75" t="s">
        <v>576</v>
      </c>
      <c r="G14" s="74">
        <f t="shared" si="1"/>
        <v>46277</v>
      </c>
      <c r="H14" s="19">
        <v>5.0469999999999997</v>
      </c>
      <c r="I14" s="71" t="s">
        <v>19</v>
      </c>
      <c r="J14" s="2" t="s">
        <v>54</v>
      </c>
      <c r="K14" s="2" t="s">
        <v>760</v>
      </c>
      <c r="L14" s="1" t="s">
        <v>338</v>
      </c>
      <c r="M14" s="3">
        <v>0.51</v>
      </c>
      <c r="N14" s="3"/>
      <c r="O14" s="3">
        <v>0.49</v>
      </c>
      <c r="P14" s="3">
        <f t="shared" ref="P14:P19" si="11">M14</f>
        <v>0.51</v>
      </c>
      <c r="Q14" s="84"/>
      <c r="R14" s="67">
        <v>0.49</v>
      </c>
      <c r="S14" s="67"/>
      <c r="T14" s="40" t="s">
        <v>548</v>
      </c>
      <c r="U14" s="87" t="s">
        <v>946</v>
      </c>
      <c r="V14" s="137" t="s">
        <v>947</v>
      </c>
      <c r="W14" s="46" t="s">
        <v>716</v>
      </c>
      <c r="Z14" t="b">
        <f t="shared" si="2"/>
        <v>1</v>
      </c>
      <c r="AA14" s="46" t="s">
        <v>716</v>
      </c>
      <c r="AB14" s="67">
        <f t="shared" si="9"/>
        <v>1.225E-2</v>
      </c>
      <c r="AC14" s="151">
        <f t="shared" si="3"/>
        <v>2450</v>
      </c>
      <c r="AD14" s="152">
        <f ca="1">((Main!$C$4-E14)*(200000*(H14/100))/360)*0.025</f>
        <v>111.45458333333332</v>
      </c>
      <c r="AE14" s="152">
        <f t="shared" ca="1" si="4"/>
        <v>2561.4545833333332</v>
      </c>
      <c r="AF14" s="153">
        <f t="shared" ca="1" si="5"/>
        <v>9406.9419572916649</v>
      </c>
      <c r="AH14" s="67">
        <f t="shared" si="10"/>
        <v>1.2627300000000001E-2</v>
      </c>
      <c r="AI14" s="151">
        <f t="shared" si="6"/>
        <v>2525.46</v>
      </c>
      <c r="AJ14">
        <f ca="1">((Main!$C$4-E14)*(200000*(H14/100))/360)*0.02577</f>
        <v>114.88738449999998</v>
      </c>
      <c r="AK14" s="152">
        <f t="shared" ca="1" si="7"/>
        <v>2640.3473844999999</v>
      </c>
      <c r="AL14" s="153">
        <f t="shared" ca="1" si="8"/>
        <v>9696.6757695762499</v>
      </c>
    </row>
    <row r="15" spans="1:38" ht="12.75" customHeight="1" x14ac:dyDescent="0.35">
      <c r="A15" s="46" t="s">
        <v>717</v>
      </c>
      <c r="B15" s="38" t="s">
        <v>52</v>
      </c>
      <c r="C15" s="46" t="s">
        <v>717</v>
      </c>
      <c r="D15" s="22" t="s">
        <v>53</v>
      </c>
      <c r="E15" s="75">
        <f t="shared" si="0"/>
        <v>45985</v>
      </c>
      <c r="F15" s="75" t="s">
        <v>643</v>
      </c>
      <c r="G15" s="74">
        <f t="shared" si="1"/>
        <v>46350</v>
      </c>
      <c r="H15" s="19">
        <f>4+7/8</f>
        <v>4.875</v>
      </c>
      <c r="I15" s="71" t="s">
        <v>19</v>
      </c>
      <c r="J15" s="2" t="s">
        <v>54</v>
      </c>
      <c r="K15" s="2" t="s">
        <v>759</v>
      </c>
      <c r="L15" s="23" t="s">
        <v>55</v>
      </c>
      <c r="M15" s="3">
        <v>0.55000000000000004</v>
      </c>
      <c r="N15" s="3"/>
      <c r="O15" s="3">
        <v>0.45</v>
      </c>
      <c r="P15" s="3">
        <f t="shared" si="11"/>
        <v>0.55000000000000004</v>
      </c>
      <c r="Q15" s="84"/>
      <c r="R15" s="67">
        <v>0.45</v>
      </c>
      <c r="S15" s="67"/>
      <c r="T15" s="40" t="s">
        <v>548</v>
      </c>
      <c r="U15" s="87" t="s">
        <v>946</v>
      </c>
      <c r="V15" s="137" t="s">
        <v>947</v>
      </c>
      <c r="W15" s="46" t="s">
        <v>717</v>
      </c>
      <c r="Z15" t="b">
        <f t="shared" si="2"/>
        <v>1</v>
      </c>
      <c r="AA15" s="46" t="s">
        <v>717</v>
      </c>
      <c r="AB15" s="67">
        <f t="shared" si="9"/>
        <v>1.1250000000000001E-2</v>
      </c>
      <c r="AC15" s="151">
        <f t="shared" si="3"/>
        <v>2250.0000000000005</v>
      </c>
      <c r="AD15" s="152">
        <f ca="1">((Main!$C$4-E15)*(200000*(H15/100))/360)*0.025</f>
        <v>58.229166666666664</v>
      </c>
      <c r="AE15" s="152">
        <f t="shared" ca="1" si="4"/>
        <v>2308.229166666667</v>
      </c>
      <c r="AF15" s="153">
        <f t="shared" ca="1" si="5"/>
        <v>8476.9716145833336</v>
      </c>
      <c r="AH15" s="67">
        <f t="shared" si="10"/>
        <v>1.1596500000000001E-2</v>
      </c>
      <c r="AI15" s="151">
        <f t="shared" si="6"/>
        <v>2319.3000000000002</v>
      </c>
      <c r="AJ15">
        <f ca="1">((Main!$C$4-E15)*(200000*(H15/100))/360)*0.02577</f>
        <v>60.022624999999998</v>
      </c>
      <c r="AK15" s="152">
        <f t="shared" ca="1" si="7"/>
        <v>2379.3226250000002</v>
      </c>
      <c r="AL15" s="153">
        <f t="shared" ca="1" si="8"/>
        <v>8738.062340312501</v>
      </c>
    </row>
    <row r="16" spans="1:38" ht="12.75" customHeight="1" x14ac:dyDescent="0.35">
      <c r="A16" s="46" t="s">
        <v>718</v>
      </c>
      <c r="B16" s="38" t="s">
        <v>56</v>
      </c>
      <c r="C16" s="46" t="s">
        <v>718</v>
      </c>
      <c r="D16" s="22" t="s">
        <v>57</v>
      </c>
      <c r="E16" s="75">
        <f t="shared" si="0"/>
        <v>45925</v>
      </c>
      <c r="F16" s="75" t="s">
        <v>631</v>
      </c>
      <c r="G16" s="74">
        <f t="shared" si="1"/>
        <v>46290</v>
      </c>
      <c r="H16" s="19">
        <v>5.25</v>
      </c>
      <c r="I16" s="71" t="s">
        <v>19</v>
      </c>
      <c r="J16" s="2" t="s">
        <v>54</v>
      </c>
      <c r="K16" s="2" t="s">
        <v>759</v>
      </c>
      <c r="L16" s="23" t="s">
        <v>55</v>
      </c>
      <c r="M16" s="3">
        <v>0.55000000000000004</v>
      </c>
      <c r="N16" s="3"/>
      <c r="O16" s="3">
        <v>0.45</v>
      </c>
      <c r="P16" s="3">
        <f t="shared" si="11"/>
        <v>0.55000000000000004</v>
      </c>
      <c r="Q16" s="84"/>
      <c r="R16" s="67">
        <v>0.45</v>
      </c>
      <c r="S16" s="67"/>
      <c r="T16" s="40" t="s">
        <v>548</v>
      </c>
      <c r="U16" s="87" t="s">
        <v>946</v>
      </c>
      <c r="V16" s="137" t="s">
        <v>947</v>
      </c>
      <c r="W16" s="46" t="s">
        <v>718</v>
      </c>
      <c r="Z16" t="b">
        <f t="shared" si="2"/>
        <v>1</v>
      </c>
      <c r="AA16" s="46" t="s">
        <v>718</v>
      </c>
      <c r="AB16" s="67">
        <f t="shared" si="9"/>
        <v>1.1250000000000001E-2</v>
      </c>
      <c r="AC16" s="151">
        <f t="shared" si="3"/>
        <v>2250.0000000000005</v>
      </c>
      <c r="AD16" s="152">
        <f ca="1">((Main!$C$4-E16)*(200000*(H16/100))/360)*0.025</f>
        <v>106.45833333333333</v>
      </c>
      <c r="AE16" s="152">
        <f t="shared" ca="1" si="4"/>
        <v>2356.4583333333339</v>
      </c>
      <c r="AF16" s="153">
        <f t="shared" ca="1" si="5"/>
        <v>8654.0932291666686</v>
      </c>
      <c r="AH16" s="67">
        <f t="shared" si="10"/>
        <v>1.1596500000000001E-2</v>
      </c>
      <c r="AI16" s="151">
        <f t="shared" si="6"/>
        <v>2319.3000000000002</v>
      </c>
      <c r="AJ16">
        <f ca="1">((Main!$C$4-E16)*(200000*(H16/100))/360)*0.02577</f>
        <v>109.73725</v>
      </c>
      <c r="AK16" s="152">
        <f t="shared" ca="1" si="7"/>
        <v>2429.0372500000003</v>
      </c>
      <c r="AL16" s="153">
        <f t="shared" ca="1" si="8"/>
        <v>8920.639300625</v>
      </c>
    </row>
    <row r="17" spans="1:38" ht="12.75" customHeight="1" x14ac:dyDescent="0.35">
      <c r="A17" s="46" t="s">
        <v>719</v>
      </c>
      <c r="B17" s="38" t="s">
        <v>58</v>
      </c>
      <c r="C17" s="46" t="s">
        <v>719</v>
      </c>
      <c r="D17" s="22" t="s">
        <v>59</v>
      </c>
      <c r="E17" s="75">
        <f t="shared" si="0"/>
        <v>45977</v>
      </c>
      <c r="F17" s="75" t="s">
        <v>567</v>
      </c>
      <c r="G17" s="74">
        <f t="shared" si="1"/>
        <v>46342</v>
      </c>
      <c r="H17" s="19">
        <v>5.5</v>
      </c>
      <c r="I17" s="71" t="s">
        <v>19</v>
      </c>
      <c r="J17" s="2" t="s">
        <v>54</v>
      </c>
      <c r="K17" s="2" t="s">
        <v>759</v>
      </c>
      <c r="L17" s="23" t="s">
        <v>55</v>
      </c>
      <c r="M17" s="3">
        <v>0.55000000000000004</v>
      </c>
      <c r="N17" s="3"/>
      <c r="O17" s="3">
        <v>0.45</v>
      </c>
      <c r="P17" s="3">
        <f t="shared" si="11"/>
        <v>0.55000000000000004</v>
      </c>
      <c r="Q17" s="84"/>
      <c r="R17" s="67">
        <v>0.45</v>
      </c>
      <c r="S17" s="67"/>
      <c r="T17" s="40" t="s">
        <v>548</v>
      </c>
      <c r="U17" s="87" t="s">
        <v>946</v>
      </c>
      <c r="V17" s="137" t="s">
        <v>947</v>
      </c>
      <c r="W17" s="46" t="s">
        <v>719</v>
      </c>
      <c r="Z17" t="b">
        <f t="shared" si="2"/>
        <v>1</v>
      </c>
      <c r="AA17" s="46" t="s">
        <v>719</v>
      </c>
      <c r="AB17" s="67">
        <f t="shared" si="9"/>
        <v>1.1250000000000001E-2</v>
      </c>
      <c r="AC17" s="151">
        <f t="shared" si="3"/>
        <v>2250.0000000000005</v>
      </c>
      <c r="AD17" s="152">
        <f ca="1">((Main!$C$4-E17)*(200000*(H17/100))/360)*0.025</f>
        <v>71.805555555555557</v>
      </c>
      <c r="AE17" s="152">
        <f t="shared" ca="1" si="4"/>
        <v>2321.8055555555561</v>
      </c>
      <c r="AF17" s="153">
        <f t="shared" ca="1" si="5"/>
        <v>8526.8309027777796</v>
      </c>
      <c r="AH17" s="67">
        <f t="shared" si="10"/>
        <v>1.1596500000000001E-2</v>
      </c>
      <c r="AI17" s="151">
        <f t="shared" si="6"/>
        <v>2319.3000000000002</v>
      </c>
      <c r="AJ17">
        <f ca="1">((Main!$C$4-E17)*(200000*(H17/100))/360)*0.02577</f>
        <v>74.017166666666668</v>
      </c>
      <c r="AK17" s="152">
        <f t="shared" ca="1" si="7"/>
        <v>2393.3171666666667</v>
      </c>
      <c r="AL17" s="153">
        <f t="shared" ca="1" si="8"/>
        <v>8789.4572945833334</v>
      </c>
    </row>
    <row r="18" spans="1:38" ht="12.75" customHeight="1" x14ac:dyDescent="0.35">
      <c r="A18" s="46" t="s">
        <v>720</v>
      </c>
      <c r="B18" s="38" t="s">
        <v>60</v>
      </c>
      <c r="C18" s="46" t="s">
        <v>720</v>
      </c>
      <c r="D18" s="22" t="s">
        <v>61</v>
      </c>
      <c r="E18" s="75">
        <f t="shared" si="0"/>
        <v>45952</v>
      </c>
      <c r="F18" s="75" t="s">
        <v>584</v>
      </c>
      <c r="G18" s="74">
        <f t="shared" si="1"/>
        <v>46317</v>
      </c>
      <c r="H18" s="19">
        <v>3.875</v>
      </c>
      <c r="I18" s="71" t="s">
        <v>19</v>
      </c>
      <c r="J18" s="2" t="s">
        <v>54</v>
      </c>
      <c r="K18" s="2" t="s">
        <v>759</v>
      </c>
      <c r="L18" s="23" t="s">
        <v>55</v>
      </c>
      <c r="M18" s="3">
        <v>0.55000000000000004</v>
      </c>
      <c r="N18" s="3"/>
      <c r="O18" s="3">
        <v>0.45</v>
      </c>
      <c r="P18" s="3">
        <f t="shared" si="11"/>
        <v>0.55000000000000004</v>
      </c>
      <c r="Q18" s="84"/>
      <c r="R18" s="67">
        <v>0.45</v>
      </c>
      <c r="S18" s="67"/>
      <c r="T18" s="40" t="s">
        <v>548</v>
      </c>
      <c r="U18" s="87" t="s">
        <v>946</v>
      </c>
      <c r="V18" s="137" t="s">
        <v>947</v>
      </c>
      <c r="W18" s="46" t="s">
        <v>720</v>
      </c>
      <c r="Z18" t="b">
        <f t="shared" si="2"/>
        <v>1</v>
      </c>
      <c r="AA18" s="46" t="s">
        <v>720</v>
      </c>
      <c r="AB18" s="67">
        <f t="shared" si="9"/>
        <v>1.1250000000000001E-2</v>
      </c>
      <c r="AC18" s="151">
        <f t="shared" si="3"/>
        <v>2250.0000000000005</v>
      </c>
      <c r="AD18" s="152">
        <f ca="1">((Main!$C$4-E18)*(200000*(H18/100))/360)*0.025</f>
        <v>64.0451388888889</v>
      </c>
      <c r="AE18" s="152">
        <f t="shared" ca="1" si="4"/>
        <v>2314.0451388888891</v>
      </c>
      <c r="AF18" s="153">
        <f t="shared" ca="1" si="5"/>
        <v>8498.3307725694449</v>
      </c>
      <c r="AH18" s="67">
        <f t="shared" si="10"/>
        <v>1.1596500000000001E-2</v>
      </c>
      <c r="AI18" s="151">
        <f t="shared" si="6"/>
        <v>2319.3000000000002</v>
      </c>
      <c r="AJ18">
        <f ca="1">((Main!$C$4-E18)*(200000*(H18/100))/360)*0.02577</f>
        <v>66.017729166666669</v>
      </c>
      <c r="AK18" s="152">
        <f t="shared" ca="1" si="7"/>
        <v>2385.317729166667</v>
      </c>
      <c r="AL18" s="153">
        <f t="shared" ca="1" si="8"/>
        <v>8760.0793603645852</v>
      </c>
    </row>
    <row r="19" spans="1:38" ht="12.75" customHeight="1" x14ac:dyDescent="0.35">
      <c r="A19" s="46" t="s">
        <v>681</v>
      </c>
      <c r="B19" s="38" t="s">
        <v>62</v>
      </c>
      <c r="C19" s="46" t="s">
        <v>681</v>
      </c>
      <c r="D19" s="22" t="s">
        <v>63</v>
      </c>
      <c r="E19" s="75">
        <f t="shared" si="0"/>
        <v>46037</v>
      </c>
      <c r="F19" s="75" t="s">
        <v>568</v>
      </c>
      <c r="G19" s="74">
        <f t="shared" si="1"/>
        <v>46402</v>
      </c>
      <c r="H19" s="19">
        <v>4.9370000000000003</v>
      </c>
      <c r="I19" s="71" t="s">
        <v>19</v>
      </c>
      <c r="J19" s="2" t="s">
        <v>54</v>
      </c>
      <c r="K19" s="2" t="s">
        <v>759</v>
      </c>
      <c r="L19" s="1" t="s">
        <v>64</v>
      </c>
      <c r="M19" s="3">
        <v>0.55000000000000004</v>
      </c>
      <c r="N19" s="3"/>
      <c r="O19" s="3">
        <v>0.45</v>
      </c>
      <c r="P19" s="3">
        <f t="shared" si="11"/>
        <v>0.55000000000000004</v>
      </c>
      <c r="Q19" s="84"/>
      <c r="R19" s="67">
        <v>0.45</v>
      </c>
      <c r="S19" s="67"/>
      <c r="T19" s="40" t="s">
        <v>548</v>
      </c>
      <c r="U19" s="87" t="s">
        <v>946</v>
      </c>
      <c r="V19" s="137" t="s">
        <v>947</v>
      </c>
      <c r="W19" s="46" t="s">
        <v>681</v>
      </c>
      <c r="Z19" t="b">
        <f t="shared" si="2"/>
        <v>1</v>
      </c>
      <c r="AA19" s="46" t="s">
        <v>681</v>
      </c>
      <c r="AB19" s="67">
        <f t="shared" si="9"/>
        <v>1.1250000000000001E-2</v>
      </c>
      <c r="AC19" s="151">
        <f t="shared" si="3"/>
        <v>2250.0000000000005</v>
      </c>
      <c r="AD19" s="152">
        <f ca="1">((Main!$C$4-E19)*(200000*(H19/100))/360)*0.025</f>
        <v>23.313611111111115</v>
      </c>
      <c r="AE19" s="152">
        <f t="shared" ca="1" si="4"/>
        <v>2273.3136111111116</v>
      </c>
      <c r="AF19" s="153">
        <f t="shared" ca="1" si="5"/>
        <v>8348.7442368055581</v>
      </c>
      <c r="AH19" s="67">
        <f t="shared" si="10"/>
        <v>1.1596500000000001E-2</v>
      </c>
      <c r="AI19" s="151">
        <f t="shared" si="6"/>
        <v>2319.3000000000002</v>
      </c>
      <c r="AJ19">
        <f ca="1">((Main!$C$4-E19)*(200000*(H19/100))/360)*0.02577</f>
        <v>24.031670333333334</v>
      </c>
      <c r="AK19" s="152">
        <f t="shared" ca="1" si="7"/>
        <v>2343.3316703333335</v>
      </c>
      <c r="AL19" s="153">
        <f t="shared" ca="1" si="8"/>
        <v>8605.8855592991677</v>
      </c>
    </row>
    <row r="20" spans="1:38" ht="12.75" customHeight="1" x14ac:dyDescent="0.35">
      <c r="A20" s="110" t="s">
        <v>682</v>
      </c>
      <c r="B20" s="38" t="s">
        <v>65</v>
      </c>
      <c r="C20" s="110" t="s">
        <v>682</v>
      </c>
      <c r="D20" s="22" t="s">
        <v>66</v>
      </c>
      <c r="E20" s="75">
        <f t="shared" si="0"/>
        <v>45903</v>
      </c>
      <c r="F20" s="75" t="s">
        <v>571</v>
      </c>
      <c r="G20" s="74">
        <f t="shared" si="1"/>
        <v>46268</v>
      </c>
      <c r="H20" s="19">
        <v>6.25</v>
      </c>
      <c r="I20" s="71" t="s">
        <v>19</v>
      </c>
      <c r="J20" s="2" t="s">
        <v>11</v>
      </c>
      <c r="K20" s="2" t="s">
        <v>751</v>
      </c>
      <c r="L20" s="2" t="s">
        <v>12</v>
      </c>
      <c r="M20" s="3">
        <v>1</v>
      </c>
      <c r="N20" s="3"/>
      <c r="O20" s="3">
        <v>0</v>
      </c>
      <c r="P20" s="69">
        <v>0</v>
      </c>
      <c r="Q20" s="85"/>
      <c r="R20" s="67">
        <v>0</v>
      </c>
      <c r="S20" s="67"/>
      <c r="T20" s="40"/>
      <c r="U20" s="87" t="s">
        <v>937</v>
      </c>
      <c r="V20" s="141" t="s">
        <v>936</v>
      </c>
      <c r="W20" s="110" t="s">
        <v>682</v>
      </c>
      <c r="Z20" t="b">
        <f t="shared" si="2"/>
        <v>1</v>
      </c>
      <c r="AA20" s="110" t="s">
        <v>682</v>
      </c>
      <c r="AB20" s="67">
        <f t="shared" si="9"/>
        <v>0</v>
      </c>
      <c r="AC20" s="151">
        <f t="shared" si="3"/>
        <v>0</v>
      </c>
      <c r="AD20" s="152">
        <f ca="1">((Main!$C$4-E20)*(200000*(H20/100))/360)*0.025</f>
        <v>145.83333333333334</v>
      </c>
      <c r="AE20" s="152">
        <f t="shared" ca="1" si="4"/>
        <v>145.83333333333334</v>
      </c>
      <c r="AF20" s="153">
        <f t="shared" ca="1" si="5"/>
        <v>535.57291666666663</v>
      </c>
      <c r="AH20" s="67">
        <f t="shared" si="10"/>
        <v>0</v>
      </c>
      <c r="AI20" s="151">
        <f t="shared" si="6"/>
        <v>0</v>
      </c>
      <c r="AJ20">
        <f ca="1">((Main!$C$4-E20)*(200000*(H20/100))/360)*0.02577</f>
        <v>150.32499999999999</v>
      </c>
      <c r="AK20" s="152">
        <f t="shared" ca="1" si="7"/>
        <v>150.32499999999999</v>
      </c>
      <c r="AL20" s="153">
        <f t="shared" ca="1" si="8"/>
        <v>552.06856249999998</v>
      </c>
    </row>
    <row r="21" spans="1:38" ht="12.75" customHeight="1" x14ac:dyDescent="0.35">
      <c r="A21" s="110" t="s">
        <v>683</v>
      </c>
      <c r="B21" s="79" t="s">
        <v>67</v>
      </c>
      <c r="C21" s="110" t="s">
        <v>683</v>
      </c>
      <c r="D21" s="80" t="s">
        <v>68</v>
      </c>
      <c r="E21" s="75">
        <f t="shared" si="0"/>
        <v>45906</v>
      </c>
      <c r="F21" s="75" t="s">
        <v>572</v>
      </c>
      <c r="G21" s="74">
        <f t="shared" si="1"/>
        <v>46271</v>
      </c>
      <c r="H21" s="19">
        <v>6.5</v>
      </c>
      <c r="I21" s="71" t="s">
        <v>19</v>
      </c>
      <c r="J21" s="2" t="s">
        <v>11</v>
      </c>
      <c r="K21" s="2" t="s">
        <v>751</v>
      </c>
      <c r="L21" s="2" t="s">
        <v>12</v>
      </c>
      <c r="M21" s="3">
        <v>1</v>
      </c>
      <c r="N21" s="3"/>
      <c r="O21" s="3">
        <v>0</v>
      </c>
      <c r="P21" s="69">
        <v>0</v>
      </c>
      <c r="Q21" s="85"/>
      <c r="R21" s="67">
        <v>0</v>
      </c>
      <c r="S21" s="67"/>
      <c r="T21" s="40"/>
      <c r="U21" s="87" t="s">
        <v>937</v>
      </c>
      <c r="V21" s="141" t="s">
        <v>936</v>
      </c>
      <c r="W21" s="110" t="s">
        <v>683</v>
      </c>
      <c r="Z21" t="b">
        <f t="shared" si="2"/>
        <v>1</v>
      </c>
      <c r="AA21" s="110" t="s">
        <v>683</v>
      </c>
      <c r="AB21" s="67">
        <f t="shared" si="9"/>
        <v>0</v>
      </c>
      <c r="AC21" s="151">
        <f t="shared" si="3"/>
        <v>0</v>
      </c>
      <c r="AD21" s="152">
        <f ca="1">((Main!$C$4-E21)*(200000*(H21/100))/360)*0.025</f>
        <v>148.95833333333334</v>
      </c>
      <c r="AE21" s="152">
        <f t="shared" ca="1" si="4"/>
        <v>148.95833333333334</v>
      </c>
      <c r="AF21" s="153">
        <f t="shared" ca="1" si="5"/>
        <v>547.04947916666663</v>
      </c>
      <c r="AH21" s="67">
        <f t="shared" si="10"/>
        <v>0</v>
      </c>
      <c r="AI21" s="151">
        <f t="shared" si="6"/>
        <v>0</v>
      </c>
      <c r="AJ21">
        <f ca="1">((Main!$C$4-E21)*(200000*(H21/100))/360)*0.02577</f>
        <v>153.54624999999999</v>
      </c>
      <c r="AK21" s="152">
        <f t="shared" ca="1" si="7"/>
        <v>153.54624999999999</v>
      </c>
      <c r="AL21" s="153">
        <f t="shared" ca="1" si="8"/>
        <v>563.89860312499991</v>
      </c>
    </row>
    <row r="22" spans="1:38" ht="12.75" customHeight="1" x14ac:dyDescent="0.35">
      <c r="A22" s="110" t="s">
        <v>721</v>
      </c>
      <c r="B22" s="38" t="s">
        <v>69</v>
      </c>
      <c r="C22" s="110" t="s">
        <v>721</v>
      </c>
      <c r="D22" s="22" t="s">
        <v>70</v>
      </c>
      <c r="E22" s="75">
        <f t="shared" si="0"/>
        <v>45989</v>
      </c>
      <c r="F22" s="75" t="s">
        <v>573</v>
      </c>
      <c r="G22" s="74">
        <f t="shared" si="1"/>
        <v>46354</v>
      </c>
      <c r="H22" s="19">
        <v>6.5</v>
      </c>
      <c r="I22" s="71" t="s">
        <v>19</v>
      </c>
      <c r="J22" s="2" t="s">
        <v>11</v>
      </c>
      <c r="K22" s="2" t="s">
        <v>751</v>
      </c>
      <c r="L22" s="2" t="s">
        <v>12</v>
      </c>
      <c r="M22" s="3">
        <v>1</v>
      </c>
      <c r="N22" s="3"/>
      <c r="O22" s="3">
        <v>0</v>
      </c>
      <c r="P22" s="69">
        <v>0</v>
      </c>
      <c r="Q22" s="85"/>
      <c r="R22" s="67">
        <v>0</v>
      </c>
      <c r="S22" s="67"/>
      <c r="T22" s="40"/>
      <c r="U22" s="87" t="s">
        <v>937</v>
      </c>
      <c r="V22" s="141" t="s">
        <v>936</v>
      </c>
      <c r="W22" s="110" t="s">
        <v>721</v>
      </c>
      <c r="Z22" t="b">
        <f t="shared" si="2"/>
        <v>1</v>
      </c>
      <c r="AA22" s="110" t="s">
        <v>721</v>
      </c>
      <c r="AB22" s="67">
        <f t="shared" si="9"/>
        <v>0</v>
      </c>
      <c r="AC22" s="151">
        <f t="shared" si="3"/>
        <v>0</v>
      </c>
      <c r="AD22" s="152">
        <f ca="1">((Main!$C$4-E22)*(200000*(H22/100))/360)*0.025</f>
        <v>74.027777777777786</v>
      </c>
      <c r="AE22" s="152">
        <f t="shared" ca="1" si="4"/>
        <v>74.027777777777786</v>
      </c>
      <c r="AF22" s="153">
        <f t="shared" ca="1" si="5"/>
        <v>271.86701388888889</v>
      </c>
      <c r="AH22" s="67">
        <f t="shared" si="10"/>
        <v>0</v>
      </c>
      <c r="AI22" s="151">
        <f t="shared" si="6"/>
        <v>0</v>
      </c>
      <c r="AJ22">
        <f ca="1">((Main!$C$4-E22)*(200000*(H22/100))/360)*0.02577</f>
        <v>76.307833333333349</v>
      </c>
      <c r="AK22" s="152">
        <f t="shared" ca="1" si="7"/>
        <v>76.307833333333349</v>
      </c>
      <c r="AL22" s="153">
        <f t="shared" ca="1" si="8"/>
        <v>280.2405179166667</v>
      </c>
    </row>
    <row r="23" spans="1:38" ht="12.75" customHeight="1" x14ac:dyDescent="0.35">
      <c r="A23" s="46" t="s">
        <v>684</v>
      </c>
      <c r="B23" s="38" t="s">
        <v>71</v>
      </c>
      <c r="C23" s="46" t="s">
        <v>684</v>
      </c>
      <c r="D23" s="22" t="s">
        <v>72</v>
      </c>
      <c r="E23" s="75">
        <f t="shared" si="0"/>
        <v>45924</v>
      </c>
      <c r="F23" s="75" t="s">
        <v>574</v>
      </c>
      <c r="G23" s="74">
        <f t="shared" si="1"/>
        <v>46289</v>
      </c>
      <c r="H23" s="19">
        <v>4.45</v>
      </c>
      <c r="I23" s="71" t="s">
        <v>19</v>
      </c>
      <c r="J23" s="2" t="s">
        <v>4</v>
      </c>
      <c r="K23" s="2" t="s">
        <v>749</v>
      </c>
      <c r="L23" s="2" t="s">
        <v>2</v>
      </c>
      <c r="M23" s="3">
        <v>0.55000000000000004</v>
      </c>
      <c r="N23" s="3"/>
      <c r="O23" s="3">
        <v>0.45</v>
      </c>
      <c r="P23" s="69">
        <f t="shared" ref="P23:P29" si="12">M23</f>
        <v>0.55000000000000004</v>
      </c>
      <c r="Q23" s="85">
        <f>1-P23</f>
        <v>0.44999999999999996</v>
      </c>
      <c r="R23" s="67">
        <v>0.45</v>
      </c>
      <c r="S23" s="67"/>
      <c r="T23" s="40" t="s">
        <v>548</v>
      </c>
      <c r="U23" s="87" t="s">
        <v>928</v>
      </c>
      <c r="V23" s="137" t="s">
        <v>929</v>
      </c>
      <c r="W23" s="46" t="s">
        <v>684</v>
      </c>
      <c r="Z23" t="b">
        <f t="shared" si="2"/>
        <v>1</v>
      </c>
      <c r="AA23" s="46" t="s">
        <v>684</v>
      </c>
      <c r="AB23" s="67">
        <f t="shared" si="9"/>
        <v>1.1250000000000001E-2</v>
      </c>
      <c r="AC23" s="151">
        <f t="shared" si="3"/>
        <v>2250.0000000000005</v>
      </c>
      <c r="AD23" s="152">
        <f ca="1">((Main!$C$4-E23)*(200000*(H23/100))/360)*0.025</f>
        <v>90.854166666666686</v>
      </c>
      <c r="AE23" s="152">
        <f t="shared" ca="1" si="4"/>
        <v>2340.854166666667</v>
      </c>
      <c r="AF23" s="153">
        <f t="shared" ca="1" si="5"/>
        <v>8596.7869270833344</v>
      </c>
      <c r="AH23" s="67">
        <f t="shared" si="10"/>
        <v>1.1596500000000001E-2</v>
      </c>
      <c r="AI23" s="151">
        <f t="shared" si="6"/>
        <v>2319.3000000000002</v>
      </c>
      <c r="AJ23">
        <f ca="1">((Main!$C$4-E23)*(200000*(H23/100))/360)*0.02577</f>
        <v>93.652475000000024</v>
      </c>
      <c r="AK23" s="152">
        <f t="shared" ca="1" si="7"/>
        <v>2412.952475</v>
      </c>
      <c r="AL23" s="153">
        <f t="shared" ca="1" si="8"/>
        <v>8861.5679644374995</v>
      </c>
    </row>
    <row r="24" spans="1:38" ht="12.75" customHeight="1" x14ac:dyDescent="0.35">
      <c r="A24" s="46" t="s">
        <v>685</v>
      </c>
      <c r="B24" s="38" t="s">
        <v>73</v>
      </c>
      <c r="C24" s="46" t="s">
        <v>685</v>
      </c>
      <c r="D24" s="22" t="s">
        <v>74</v>
      </c>
      <c r="E24" s="75">
        <f t="shared" si="0"/>
        <v>46047</v>
      </c>
      <c r="F24" s="75" t="s">
        <v>569</v>
      </c>
      <c r="G24" s="74">
        <f t="shared" si="1"/>
        <v>46412</v>
      </c>
      <c r="H24" s="19">
        <v>5.2329999999999997</v>
      </c>
      <c r="I24" s="71" t="s">
        <v>19</v>
      </c>
      <c r="J24" s="2" t="s">
        <v>4</v>
      </c>
      <c r="K24" s="2" t="s">
        <v>749</v>
      </c>
      <c r="L24" s="2" t="s">
        <v>2</v>
      </c>
      <c r="M24" s="3">
        <v>0.55000000000000004</v>
      </c>
      <c r="N24" s="3"/>
      <c r="O24" s="3">
        <v>0.45</v>
      </c>
      <c r="P24" s="69">
        <f t="shared" si="12"/>
        <v>0.55000000000000004</v>
      </c>
      <c r="Q24" s="85">
        <f>1-P24</f>
        <v>0.44999999999999996</v>
      </c>
      <c r="R24" s="67">
        <v>0.45</v>
      </c>
      <c r="S24" s="67"/>
      <c r="T24" s="40" t="s">
        <v>548</v>
      </c>
      <c r="U24" s="87" t="s">
        <v>928</v>
      </c>
      <c r="V24" s="137" t="s">
        <v>929</v>
      </c>
      <c r="W24" s="46" t="s">
        <v>685</v>
      </c>
      <c r="Z24" t="b">
        <f t="shared" si="2"/>
        <v>1</v>
      </c>
      <c r="AA24" s="46" t="s">
        <v>685</v>
      </c>
      <c r="AB24" s="67">
        <f t="shared" si="9"/>
        <v>1.1250000000000001E-2</v>
      </c>
      <c r="AC24" s="151">
        <f t="shared" si="3"/>
        <v>2250.0000000000005</v>
      </c>
      <c r="AD24" s="152">
        <f ca="1">((Main!$C$4-E24)*(200000*(H24/100))/360)*0.025</f>
        <v>17.443333333333328</v>
      </c>
      <c r="AE24" s="152">
        <f t="shared" ca="1" si="4"/>
        <v>2267.4433333333336</v>
      </c>
      <c r="AF24" s="153">
        <f t="shared" ca="1" si="5"/>
        <v>8327.1856416666669</v>
      </c>
      <c r="AH24" s="67">
        <f t="shared" si="10"/>
        <v>1.1596500000000001E-2</v>
      </c>
      <c r="AI24" s="151">
        <f t="shared" si="6"/>
        <v>2319.3000000000002</v>
      </c>
      <c r="AJ24">
        <f ca="1">((Main!$C$4-E24)*(200000*(H24/100))/360)*0.02577</f>
        <v>17.980587999999994</v>
      </c>
      <c r="AK24" s="152">
        <f t="shared" ca="1" si="7"/>
        <v>2337.2805880000001</v>
      </c>
      <c r="AL24" s="153">
        <f t="shared" ca="1" si="8"/>
        <v>8583.6629594299993</v>
      </c>
    </row>
    <row r="25" spans="1:38" ht="12.75" customHeight="1" x14ac:dyDescent="0.35">
      <c r="A25" s="46" t="s">
        <v>722</v>
      </c>
      <c r="B25" s="38" t="s">
        <v>75</v>
      </c>
      <c r="C25" s="46" t="s">
        <v>722</v>
      </c>
      <c r="D25" s="22" t="s">
        <v>76</v>
      </c>
      <c r="E25" s="75">
        <f t="shared" si="0"/>
        <v>45995</v>
      </c>
      <c r="F25" s="75" t="s">
        <v>564</v>
      </c>
      <c r="G25" s="74">
        <f t="shared" si="1"/>
        <v>46360</v>
      </c>
      <c r="H25" s="19">
        <v>8.875</v>
      </c>
      <c r="I25" s="71" t="s">
        <v>19</v>
      </c>
      <c r="J25" s="2" t="s">
        <v>54</v>
      </c>
      <c r="K25" s="2" t="s">
        <v>759</v>
      </c>
      <c r="L25" s="23" t="s">
        <v>55</v>
      </c>
      <c r="M25" s="3">
        <v>0.55000000000000004</v>
      </c>
      <c r="N25" s="3"/>
      <c r="O25" s="3">
        <v>0.45</v>
      </c>
      <c r="P25" s="3">
        <f t="shared" si="12"/>
        <v>0.55000000000000004</v>
      </c>
      <c r="Q25" s="84"/>
      <c r="R25" s="67">
        <v>0.45</v>
      </c>
      <c r="S25" s="67"/>
      <c r="T25" s="40" t="s">
        <v>548</v>
      </c>
      <c r="U25" s="87" t="s">
        <v>946</v>
      </c>
      <c r="V25" s="137" t="s">
        <v>947</v>
      </c>
      <c r="W25" s="46" t="s">
        <v>722</v>
      </c>
      <c r="Z25" t="b">
        <f t="shared" si="2"/>
        <v>1</v>
      </c>
      <c r="AA25" s="46" t="s">
        <v>722</v>
      </c>
      <c r="AB25" s="67">
        <f t="shared" si="9"/>
        <v>1.1250000000000001E-2</v>
      </c>
      <c r="AC25" s="151">
        <f t="shared" si="3"/>
        <v>2250.0000000000005</v>
      </c>
      <c r="AD25" s="152">
        <f ca="1">((Main!$C$4-E25)*(200000*(H25/100))/360)*0.025</f>
        <v>93.680555555555557</v>
      </c>
      <c r="AE25" s="152">
        <f t="shared" ca="1" si="4"/>
        <v>2343.6805555555561</v>
      </c>
      <c r="AF25" s="153">
        <f t="shared" ca="1" si="5"/>
        <v>8607.1668402777796</v>
      </c>
      <c r="AH25" s="67">
        <f t="shared" si="10"/>
        <v>1.1596500000000001E-2</v>
      </c>
      <c r="AI25" s="151">
        <f t="shared" si="6"/>
        <v>2319.3000000000002</v>
      </c>
      <c r="AJ25">
        <f ca="1">((Main!$C$4-E25)*(200000*(H25/100))/360)*0.02577</f>
        <v>96.565916666666666</v>
      </c>
      <c r="AK25" s="152">
        <f t="shared" ca="1" si="7"/>
        <v>2415.8659166666666</v>
      </c>
      <c r="AL25" s="153">
        <f t="shared" ca="1" si="8"/>
        <v>8872.2675789583336</v>
      </c>
    </row>
    <row r="26" spans="1:38" ht="12.75" customHeight="1" x14ac:dyDescent="0.35">
      <c r="A26" s="46" t="s">
        <v>723</v>
      </c>
      <c r="B26" s="38" t="s">
        <v>77</v>
      </c>
      <c r="C26" s="46" t="s">
        <v>723</v>
      </c>
      <c r="D26" s="22" t="s">
        <v>78</v>
      </c>
      <c r="E26" s="75">
        <f t="shared" si="0"/>
        <v>45906</v>
      </c>
      <c r="F26" s="75" t="s">
        <v>572</v>
      </c>
      <c r="G26" s="74">
        <f t="shared" si="1"/>
        <v>46271</v>
      </c>
      <c r="H26" s="19">
        <v>9.5</v>
      </c>
      <c r="I26" s="71" t="s">
        <v>19</v>
      </c>
      <c r="J26" s="2" t="s">
        <v>54</v>
      </c>
      <c r="K26" s="2" t="s">
        <v>759</v>
      </c>
      <c r="L26" s="23" t="s">
        <v>55</v>
      </c>
      <c r="M26" s="3">
        <v>0.55000000000000004</v>
      </c>
      <c r="N26" s="3"/>
      <c r="O26" s="3">
        <v>0.45</v>
      </c>
      <c r="P26" s="3">
        <f t="shared" si="12"/>
        <v>0.55000000000000004</v>
      </c>
      <c r="Q26" s="84"/>
      <c r="R26" s="67">
        <v>0.45</v>
      </c>
      <c r="S26" s="67"/>
      <c r="T26" s="40" t="s">
        <v>548</v>
      </c>
      <c r="U26" s="87" t="s">
        <v>946</v>
      </c>
      <c r="V26" s="137" t="s">
        <v>947</v>
      </c>
      <c r="W26" s="46" t="s">
        <v>723</v>
      </c>
      <c r="Z26" t="b">
        <f t="shared" si="2"/>
        <v>1</v>
      </c>
      <c r="AA26" s="46" t="s">
        <v>723</v>
      </c>
      <c r="AB26" s="67">
        <f t="shared" si="9"/>
        <v>1.1250000000000001E-2</v>
      </c>
      <c r="AC26" s="151">
        <f t="shared" si="3"/>
        <v>2250.0000000000005</v>
      </c>
      <c r="AD26" s="152">
        <f ca="1">((Main!$C$4-E26)*(200000*(H26/100))/360)*0.025</f>
        <v>217.70833333333337</v>
      </c>
      <c r="AE26" s="152">
        <f t="shared" ca="1" si="4"/>
        <v>2467.7083333333339</v>
      </c>
      <c r="AF26" s="153">
        <f t="shared" ca="1" si="5"/>
        <v>9062.6588541666679</v>
      </c>
      <c r="AH26" s="67">
        <f t="shared" si="10"/>
        <v>1.1596500000000001E-2</v>
      </c>
      <c r="AI26" s="151">
        <f t="shared" si="6"/>
        <v>2319.3000000000002</v>
      </c>
      <c r="AJ26">
        <f ca="1">((Main!$C$4-E26)*(200000*(H26/100))/360)*0.02577</f>
        <v>224.41375000000002</v>
      </c>
      <c r="AK26" s="152">
        <f t="shared" ca="1" si="7"/>
        <v>2543.7137500000003</v>
      </c>
      <c r="AL26" s="153">
        <f t="shared" ca="1" si="8"/>
        <v>9341.7887468750014</v>
      </c>
    </row>
    <row r="27" spans="1:38" ht="12.75" customHeight="1" x14ac:dyDescent="0.35">
      <c r="A27" s="46" t="s">
        <v>686</v>
      </c>
      <c r="B27" s="38" t="s">
        <v>79</v>
      </c>
      <c r="C27" s="46" t="s">
        <v>686</v>
      </c>
      <c r="D27" s="22" t="s">
        <v>80</v>
      </c>
      <c r="E27" s="75">
        <f t="shared" si="0"/>
        <v>46058</v>
      </c>
      <c r="F27" s="75" t="s">
        <v>577</v>
      </c>
      <c r="G27" s="74">
        <f t="shared" si="1"/>
        <v>46423</v>
      </c>
      <c r="H27" s="19">
        <v>7.15</v>
      </c>
      <c r="I27" s="71" t="s">
        <v>19</v>
      </c>
      <c r="J27" s="2" t="s">
        <v>4</v>
      </c>
      <c r="K27" s="2" t="s">
        <v>749</v>
      </c>
      <c r="L27" s="2" t="s">
        <v>5</v>
      </c>
      <c r="M27" s="3">
        <v>0.55000000000000004</v>
      </c>
      <c r="N27" s="3"/>
      <c r="O27" s="3">
        <v>0.45</v>
      </c>
      <c r="P27" s="69">
        <f t="shared" si="12"/>
        <v>0.55000000000000004</v>
      </c>
      <c r="Q27" s="85">
        <f>1-P27</f>
        <v>0.44999999999999996</v>
      </c>
      <c r="R27" s="67">
        <v>0.45</v>
      </c>
      <c r="S27" s="67"/>
      <c r="T27" s="40" t="s">
        <v>548</v>
      </c>
      <c r="U27" s="87" t="s">
        <v>928</v>
      </c>
      <c r="V27" s="137" t="s">
        <v>929</v>
      </c>
      <c r="W27" s="46" t="s">
        <v>686</v>
      </c>
      <c r="Z27" t="b">
        <f t="shared" si="2"/>
        <v>1</v>
      </c>
      <c r="AA27" s="46" t="s">
        <v>686</v>
      </c>
      <c r="AB27" s="67">
        <f t="shared" si="9"/>
        <v>1.1250000000000001E-2</v>
      </c>
      <c r="AC27" s="151">
        <f t="shared" si="3"/>
        <v>2250.0000000000005</v>
      </c>
      <c r="AD27" s="152">
        <f ca="1">((Main!$C$4-E27)*(200000*(H27/100))/360)*0.025</f>
        <v>12.909722222222223</v>
      </c>
      <c r="AE27" s="152">
        <f t="shared" ca="1" si="4"/>
        <v>2262.9097222222226</v>
      </c>
      <c r="AF27" s="153">
        <f t="shared" ca="1" si="5"/>
        <v>8310.5359548611123</v>
      </c>
      <c r="AH27" s="67">
        <f t="shared" si="10"/>
        <v>1.1596500000000001E-2</v>
      </c>
      <c r="AI27" s="151">
        <f t="shared" si="6"/>
        <v>2319.3000000000002</v>
      </c>
      <c r="AJ27">
        <f ca="1">((Main!$C$4-E27)*(200000*(H27/100))/360)*0.02577</f>
        <v>13.307341666666668</v>
      </c>
      <c r="AK27" s="152">
        <f t="shared" ca="1" si="7"/>
        <v>2332.6073416666668</v>
      </c>
      <c r="AL27" s="153">
        <f ca="1">AK27*3.6725</f>
        <v>8566.5004622708329</v>
      </c>
    </row>
    <row r="28" spans="1:38" ht="12.75" customHeight="1" x14ac:dyDescent="0.35">
      <c r="A28" s="46" t="s">
        <v>687</v>
      </c>
      <c r="B28" s="38" t="s">
        <v>81</v>
      </c>
      <c r="C28" s="46" t="s">
        <v>687</v>
      </c>
      <c r="D28" s="22" t="s">
        <v>82</v>
      </c>
      <c r="E28" s="75">
        <f t="shared" si="0"/>
        <v>46015</v>
      </c>
      <c r="F28" s="75" t="s">
        <v>578</v>
      </c>
      <c r="G28" s="74">
        <f t="shared" si="1"/>
        <v>46380</v>
      </c>
      <c r="H28" s="19">
        <v>8</v>
      </c>
      <c r="I28" s="71" t="s">
        <v>19</v>
      </c>
      <c r="J28" s="2" t="s">
        <v>4</v>
      </c>
      <c r="K28" s="2" t="s">
        <v>749</v>
      </c>
      <c r="L28" s="2" t="s">
        <v>5</v>
      </c>
      <c r="M28" s="3">
        <v>0.55000000000000004</v>
      </c>
      <c r="N28" s="3"/>
      <c r="O28" s="3">
        <v>0.45</v>
      </c>
      <c r="P28" s="69">
        <f t="shared" si="12"/>
        <v>0.55000000000000004</v>
      </c>
      <c r="Q28" s="85">
        <f>1-P28</f>
        <v>0.44999999999999996</v>
      </c>
      <c r="R28" s="67">
        <v>0.45</v>
      </c>
      <c r="S28" s="67"/>
      <c r="T28" s="40" t="s">
        <v>548</v>
      </c>
      <c r="U28" s="87" t="s">
        <v>928</v>
      </c>
      <c r="V28" s="137" t="s">
        <v>929</v>
      </c>
      <c r="W28" s="46" t="s">
        <v>687</v>
      </c>
      <c r="Z28" t="b">
        <f t="shared" si="2"/>
        <v>1</v>
      </c>
      <c r="AA28" s="46" t="s">
        <v>687</v>
      </c>
      <c r="AB28" s="67">
        <f t="shared" si="9"/>
        <v>1.1250000000000001E-2</v>
      </c>
      <c r="AC28" s="151">
        <f t="shared" si="3"/>
        <v>2250.0000000000005</v>
      </c>
      <c r="AD28" s="152">
        <f ca="1">((Main!$C$4-E28)*(200000*(H28/100))/360)*0.025</f>
        <v>62.222222222222221</v>
      </c>
      <c r="AE28" s="152">
        <f t="shared" ca="1" si="4"/>
        <v>2312.2222222222226</v>
      </c>
      <c r="AF28" s="153">
        <f t="shared" ca="1" si="5"/>
        <v>8491.6361111111128</v>
      </c>
      <c r="AH28" s="67">
        <f t="shared" si="10"/>
        <v>1.1596500000000001E-2</v>
      </c>
      <c r="AI28" s="151">
        <f t="shared" si="6"/>
        <v>2319.3000000000002</v>
      </c>
      <c r="AJ28">
        <f ca="1">((Main!$C$4-E28)*(200000*(H28/100))/360)*0.02577</f>
        <v>64.138666666666666</v>
      </c>
      <c r="AK28" s="152">
        <f t="shared" ca="1" si="7"/>
        <v>2383.4386666666669</v>
      </c>
      <c r="AL28" s="153">
        <f t="shared" ca="1" si="8"/>
        <v>8753.1785033333344</v>
      </c>
    </row>
    <row r="29" spans="1:38" ht="12.75" customHeight="1" x14ac:dyDescent="0.35">
      <c r="A29" s="46" t="s">
        <v>688</v>
      </c>
      <c r="B29" s="38" t="s">
        <v>83</v>
      </c>
      <c r="C29" s="46" t="s">
        <v>688</v>
      </c>
      <c r="D29" s="22" t="s">
        <v>84</v>
      </c>
      <c r="E29" s="75">
        <f t="shared" si="0"/>
        <v>45999</v>
      </c>
      <c r="F29" s="75" t="s">
        <v>579</v>
      </c>
      <c r="G29" s="74">
        <f t="shared" si="1"/>
        <v>46364</v>
      </c>
      <c r="H29" s="19">
        <v>8.125</v>
      </c>
      <c r="I29" s="71" t="s">
        <v>19</v>
      </c>
      <c r="J29" s="2" t="s">
        <v>4</v>
      </c>
      <c r="K29" s="2" t="s">
        <v>749</v>
      </c>
      <c r="L29" s="2" t="s">
        <v>5</v>
      </c>
      <c r="M29" s="3">
        <v>0.55000000000000004</v>
      </c>
      <c r="N29" s="3"/>
      <c r="O29" s="3">
        <v>0.45</v>
      </c>
      <c r="P29" s="69">
        <f t="shared" si="12"/>
        <v>0.55000000000000004</v>
      </c>
      <c r="Q29" s="85">
        <f>1-P29</f>
        <v>0.44999999999999996</v>
      </c>
      <c r="R29" s="67">
        <v>0.45</v>
      </c>
      <c r="S29" s="67"/>
      <c r="T29" s="40" t="s">
        <v>548</v>
      </c>
      <c r="U29" s="87" t="s">
        <v>928</v>
      </c>
      <c r="V29" s="137" t="s">
        <v>929</v>
      </c>
      <c r="W29" s="46" t="s">
        <v>688</v>
      </c>
      <c r="Z29" t="b">
        <f t="shared" si="2"/>
        <v>1</v>
      </c>
      <c r="AA29" s="46" t="s">
        <v>688</v>
      </c>
      <c r="AB29" s="67">
        <f t="shared" si="9"/>
        <v>1.1250000000000001E-2</v>
      </c>
      <c r="AC29" s="151">
        <f t="shared" si="3"/>
        <v>2250.0000000000005</v>
      </c>
      <c r="AD29" s="152">
        <f ca="1">((Main!$C$4-E29)*(200000*(H29/100))/360)*0.025</f>
        <v>81.25</v>
      </c>
      <c r="AE29" s="152">
        <f t="shared" ca="1" si="4"/>
        <v>2331.2500000000005</v>
      </c>
      <c r="AF29" s="153">
        <f t="shared" ca="1" si="5"/>
        <v>8561.5156250000018</v>
      </c>
      <c r="AH29" s="67">
        <f t="shared" si="10"/>
        <v>1.1596500000000001E-2</v>
      </c>
      <c r="AI29" s="151">
        <f t="shared" si="6"/>
        <v>2319.3000000000002</v>
      </c>
      <c r="AJ29">
        <f ca="1">((Main!$C$4-E29)*(200000*(H29/100))/360)*0.02577</f>
        <v>83.752499999999998</v>
      </c>
      <c r="AK29" s="152">
        <f t="shared" ca="1" si="7"/>
        <v>2403.0525000000002</v>
      </c>
      <c r="AL29" s="153">
        <f t="shared" ca="1" si="8"/>
        <v>8825.2103062500009</v>
      </c>
    </row>
    <row r="30" spans="1:38" ht="12.75" customHeight="1" x14ac:dyDescent="0.35">
      <c r="A30" s="46" t="s">
        <v>101</v>
      </c>
      <c r="B30" s="38" t="s">
        <v>102</v>
      </c>
      <c r="C30" s="46" t="s">
        <v>101</v>
      </c>
      <c r="D30" s="22" t="s">
        <v>103</v>
      </c>
      <c r="E30" s="75">
        <f t="shared" si="0"/>
        <v>45924</v>
      </c>
      <c r="F30" s="75" t="s">
        <v>574</v>
      </c>
      <c r="G30" s="74">
        <f t="shared" si="1"/>
        <v>46289</v>
      </c>
      <c r="H30" s="19">
        <v>4.375</v>
      </c>
      <c r="I30" s="71" t="s">
        <v>19</v>
      </c>
      <c r="J30" s="60" t="s">
        <v>943</v>
      </c>
      <c r="K30" s="1" t="s">
        <v>752</v>
      </c>
      <c r="L30" s="1" t="s">
        <v>104</v>
      </c>
      <c r="M30" s="3">
        <v>0.52</v>
      </c>
      <c r="N30" s="47"/>
      <c r="O30" s="3">
        <v>0.48</v>
      </c>
      <c r="P30" s="69">
        <f>M30-N30</f>
        <v>0.52</v>
      </c>
      <c r="Q30" s="85"/>
      <c r="R30" s="67">
        <v>0.48</v>
      </c>
      <c r="S30" s="67"/>
      <c r="T30" s="40" t="s">
        <v>549</v>
      </c>
      <c r="U30" s="87" t="s">
        <v>944</v>
      </c>
      <c r="V30" s="141" t="s">
        <v>945</v>
      </c>
      <c r="W30" s="46" t="s">
        <v>101</v>
      </c>
      <c r="Z30" t="b">
        <f t="shared" si="2"/>
        <v>1</v>
      </c>
      <c r="AA30" s="46" t="s">
        <v>101</v>
      </c>
      <c r="AB30" s="67">
        <f t="shared" si="9"/>
        <v>1.2E-2</v>
      </c>
      <c r="AC30" s="151">
        <f t="shared" si="3"/>
        <v>2400</v>
      </c>
      <c r="AD30" s="152">
        <f ca="1">((Main!$C$4-E30)*(200000*(H30/100))/360)*0.025</f>
        <v>89.322916666666671</v>
      </c>
      <c r="AE30" s="152">
        <f t="shared" ca="1" si="4"/>
        <v>2489.3229166666665</v>
      </c>
      <c r="AF30" s="153">
        <f t="shared" ca="1" si="5"/>
        <v>9142.0384114583321</v>
      </c>
      <c r="AH30" s="67">
        <f t="shared" si="10"/>
        <v>1.23696E-2</v>
      </c>
      <c r="AI30" s="151">
        <f t="shared" si="6"/>
        <v>2473.92</v>
      </c>
      <c r="AJ30">
        <f ca="1">((Main!$C$4-E30)*(200000*(H30/100))/360)*0.02577</f>
        <v>92.074062499999997</v>
      </c>
      <c r="AK30" s="152">
        <f t="shared" ca="1" si="7"/>
        <v>2565.9940624999999</v>
      </c>
      <c r="AL30" s="153">
        <f t="shared" ca="1" si="8"/>
        <v>9423.61319453125</v>
      </c>
    </row>
    <row r="31" spans="1:38" ht="12.75" customHeight="1" x14ac:dyDescent="0.35">
      <c r="A31" s="46" t="s">
        <v>369</v>
      </c>
      <c r="B31" s="38" t="s">
        <v>370</v>
      </c>
      <c r="C31" s="46" t="s">
        <v>369</v>
      </c>
      <c r="D31" s="22" t="s">
        <v>371</v>
      </c>
      <c r="E31" s="75">
        <f t="shared" si="0"/>
        <v>46043</v>
      </c>
      <c r="F31" s="75" t="s">
        <v>566</v>
      </c>
      <c r="G31" s="74">
        <f t="shared" si="1"/>
        <v>46408</v>
      </c>
      <c r="H31" s="19">
        <v>4.0999999999999996</v>
      </c>
      <c r="I31" s="71" t="s">
        <v>19</v>
      </c>
      <c r="J31" s="60" t="s">
        <v>943</v>
      </c>
      <c r="K31" s="2" t="s">
        <v>753</v>
      </c>
      <c r="L31" s="2" t="s">
        <v>372</v>
      </c>
      <c r="M31" s="3">
        <v>0.26</v>
      </c>
      <c r="N31" s="47"/>
      <c r="O31" s="3">
        <v>0.74</v>
      </c>
      <c r="P31" s="69">
        <f>M31-N31</f>
        <v>0.26</v>
      </c>
      <c r="Q31" s="85"/>
      <c r="R31" s="67">
        <v>0.74</v>
      </c>
      <c r="S31" s="67"/>
      <c r="T31" s="40" t="s">
        <v>549</v>
      </c>
      <c r="U31" s="87" t="s">
        <v>944</v>
      </c>
      <c r="V31" s="141" t="s">
        <v>945</v>
      </c>
      <c r="W31" s="46" t="s">
        <v>369</v>
      </c>
      <c r="Z31" t="b">
        <f t="shared" si="2"/>
        <v>1</v>
      </c>
      <c r="AA31" s="46" t="s">
        <v>369</v>
      </c>
      <c r="AB31" s="67">
        <f t="shared" si="9"/>
        <v>1.8499999999999999E-2</v>
      </c>
      <c r="AC31" s="151">
        <f t="shared" si="3"/>
        <v>3700</v>
      </c>
      <c r="AD31" s="152">
        <f ca="1">((Main!$C$4-E31)*(200000*(H31/100))/360)*0.025</f>
        <v>15.944444444444441</v>
      </c>
      <c r="AE31" s="152">
        <f t="shared" ca="1" si="4"/>
        <v>3715.9444444444443</v>
      </c>
      <c r="AF31" s="153">
        <f t="shared" ca="1" si="5"/>
        <v>13646.805972222221</v>
      </c>
      <c r="AH31" s="67">
        <f t="shared" si="10"/>
        <v>1.9069800000000001E-2</v>
      </c>
      <c r="AI31" s="151">
        <f t="shared" si="6"/>
        <v>3813.9600000000005</v>
      </c>
      <c r="AJ31">
        <f ca="1">((Main!$C$4-E31)*(200000*(H31/100))/360)*0.02577</f>
        <v>16.435533333333328</v>
      </c>
      <c r="AK31" s="152">
        <f t="shared" ca="1" si="7"/>
        <v>3830.3955333333338</v>
      </c>
      <c r="AL31" s="153">
        <f t="shared" ca="1" si="8"/>
        <v>14067.127596166667</v>
      </c>
    </row>
    <row r="32" spans="1:38" ht="12.75" customHeight="1" x14ac:dyDescent="0.35">
      <c r="A32" s="111" t="s">
        <v>46</v>
      </c>
      <c r="B32" s="38" t="s">
        <v>47</v>
      </c>
      <c r="C32" s="111" t="s">
        <v>46</v>
      </c>
      <c r="D32" s="22" t="s">
        <v>48</v>
      </c>
      <c r="E32" s="75">
        <f t="shared" si="0"/>
        <v>45983</v>
      </c>
      <c r="F32" s="75" t="s">
        <v>580</v>
      </c>
      <c r="G32" s="74">
        <f t="shared" si="1"/>
        <v>46348</v>
      </c>
      <c r="H32" s="19">
        <v>6.5</v>
      </c>
      <c r="I32" s="71" t="s">
        <v>19</v>
      </c>
      <c r="J32" s="24" t="s">
        <v>11</v>
      </c>
      <c r="K32" s="2" t="s">
        <v>751</v>
      </c>
      <c r="L32" s="2" t="s">
        <v>12</v>
      </c>
      <c r="M32" s="25">
        <v>1</v>
      </c>
      <c r="N32" s="3"/>
      <c r="O32" s="25">
        <v>0</v>
      </c>
      <c r="P32" s="69">
        <v>0</v>
      </c>
      <c r="Q32" s="85"/>
      <c r="R32" s="67">
        <v>0</v>
      </c>
      <c r="S32" s="67"/>
      <c r="T32" s="40"/>
      <c r="U32" s="87" t="s">
        <v>937</v>
      </c>
      <c r="V32" s="141" t="s">
        <v>936</v>
      </c>
      <c r="W32" s="111" t="s">
        <v>46</v>
      </c>
      <c r="Z32" t="b">
        <f t="shared" si="2"/>
        <v>1</v>
      </c>
      <c r="AA32" s="111" t="s">
        <v>46</v>
      </c>
      <c r="AB32" s="67">
        <f t="shared" si="9"/>
        <v>0</v>
      </c>
      <c r="AC32" s="151">
        <f t="shared" si="3"/>
        <v>0</v>
      </c>
      <c r="AD32" s="152">
        <f ca="1">((Main!$C$4-E32)*(200000*(H32/100))/360)*0.025</f>
        <v>79.444444444444457</v>
      </c>
      <c r="AE32" s="152">
        <f t="shared" ca="1" si="4"/>
        <v>79.444444444444457</v>
      </c>
      <c r="AF32" s="153">
        <f t="shared" ca="1" si="5"/>
        <v>291.75972222222225</v>
      </c>
      <c r="AH32" s="67">
        <f t="shared" si="10"/>
        <v>0</v>
      </c>
      <c r="AI32" s="151">
        <f t="shared" si="6"/>
        <v>0</v>
      </c>
      <c r="AJ32">
        <f ca="1">((Main!$C$4-E32)*(200000*(H32/100))/360)*0.02577</f>
        <v>81.891333333333336</v>
      </c>
      <c r="AK32" s="152">
        <f t="shared" ca="1" si="7"/>
        <v>81.891333333333336</v>
      </c>
      <c r="AL32" s="153">
        <f t="shared" ca="1" si="8"/>
        <v>300.74592166666667</v>
      </c>
    </row>
    <row r="33" spans="1:38" ht="12.75" customHeight="1" x14ac:dyDescent="0.35">
      <c r="A33" s="110" t="s">
        <v>689</v>
      </c>
      <c r="B33" s="38" t="s">
        <v>308</v>
      </c>
      <c r="C33" s="110" t="s">
        <v>689</v>
      </c>
      <c r="D33" s="22" t="s">
        <v>309</v>
      </c>
      <c r="E33" s="75">
        <f t="shared" si="0"/>
        <v>46020</v>
      </c>
      <c r="F33" s="75" t="s">
        <v>581</v>
      </c>
      <c r="G33" s="74">
        <f t="shared" si="1"/>
        <v>46385</v>
      </c>
      <c r="H33" s="19">
        <v>3.95</v>
      </c>
      <c r="I33" s="71" t="s">
        <v>19</v>
      </c>
      <c r="J33" s="2" t="s">
        <v>11</v>
      </c>
      <c r="K33" s="2" t="s">
        <v>751</v>
      </c>
      <c r="L33" s="2" t="s">
        <v>12</v>
      </c>
      <c r="M33" s="3">
        <v>1</v>
      </c>
      <c r="N33" s="3"/>
      <c r="O33" s="3">
        <v>0</v>
      </c>
      <c r="P33" s="69">
        <v>0</v>
      </c>
      <c r="Q33" s="85"/>
      <c r="R33" s="67">
        <v>0</v>
      </c>
      <c r="S33" s="67"/>
      <c r="T33" s="40"/>
      <c r="U33" s="87" t="s">
        <v>937</v>
      </c>
      <c r="V33" s="141" t="s">
        <v>936</v>
      </c>
      <c r="W33" s="110" t="s">
        <v>689</v>
      </c>
      <c r="Z33" t="b">
        <f t="shared" si="2"/>
        <v>1</v>
      </c>
      <c r="AA33" s="110" t="s">
        <v>689</v>
      </c>
      <c r="AB33" s="67">
        <f t="shared" si="9"/>
        <v>0</v>
      </c>
      <c r="AC33" s="151">
        <f t="shared" si="3"/>
        <v>0</v>
      </c>
      <c r="AD33" s="152">
        <f ca="1">((Main!$C$4-E33)*(200000*(H33/100))/360)*0.025</f>
        <v>27.979166666666671</v>
      </c>
      <c r="AE33" s="152">
        <f t="shared" ca="1" si="4"/>
        <v>27.979166666666671</v>
      </c>
      <c r="AF33" s="153">
        <f t="shared" ca="1" si="5"/>
        <v>102.75348958333335</v>
      </c>
      <c r="AH33" s="67">
        <f t="shared" si="10"/>
        <v>0</v>
      </c>
      <c r="AI33" s="151">
        <f t="shared" si="6"/>
        <v>0</v>
      </c>
      <c r="AJ33">
        <f ca="1">((Main!$C$4-E33)*(200000*(H33/100))/360)*0.02577</f>
        <v>28.840925000000002</v>
      </c>
      <c r="AK33" s="152">
        <f t="shared" ca="1" si="7"/>
        <v>28.840925000000002</v>
      </c>
      <c r="AL33" s="153">
        <f t="shared" ca="1" si="8"/>
        <v>105.9182970625</v>
      </c>
    </row>
    <row r="34" spans="1:38" ht="12.75" customHeight="1" x14ac:dyDescent="0.35">
      <c r="A34" s="110" t="s">
        <v>690</v>
      </c>
      <c r="B34" s="38" t="s">
        <v>310</v>
      </c>
      <c r="C34" s="110" t="s">
        <v>690</v>
      </c>
      <c r="D34" s="22" t="s">
        <v>311</v>
      </c>
      <c r="E34" s="75">
        <f t="shared" si="0"/>
        <v>45922</v>
      </c>
      <c r="F34" s="75" t="s">
        <v>582</v>
      </c>
      <c r="G34" s="74">
        <f t="shared" si="1"/>
        <v>46287</v>
      </c>
      <c r="H34" s="19">
        <v>6.5</v>
      </c>
      <c r="I34" s="71" t="s">
        <v>19</v>
      </c>
      <c r="J34" s="2" t="s">
        <v>11</v>
      </c>
      <c r="K34" s="2" t="s">
        <v>751</v>
      </c>
      <c r="L34" s="2" t="s">
        <v>12</v>
      </c>
      <c r="M34" s="3">
        <v>1</v>
      </c>
      <c r="N34" s="3"/>
      <c r="O34" s="3">
        <v>0</v>
      </c>
      <c r="P34" s="69">
        <v>0</v>
      </c>
      <c r="Q34" s="85"/>
      <c r="R34" s="67">
        <v>0</v>
      </c>
      <c r="S34" s="67"/>
      <c r="T34" s="40"/>
      <c r="U34" s="87" t="s">
        <v>937</v>
      </c>
      <c r="V34" s="141" t="s">
        <v>936</v>
      </c>
      <c r="W34" s="110" t="s">
        <v>690</v>
      </c>
      <c r="Z34" t="b">
        <f t="shared" si="2"/>
        <v>1</v>
      </c>
      <c r="AA34" s="110" t="s">
        <v>690</v>
      </c>
      <c r="AB34" s="67">
        <f t="shared" si="9"/>
        <v>0</v>
      </c>
      <c r="AC34" s="151">
        <f t="shared" si="3"/>
        <v>0</v>
      </c>
      <c r="AD34" s="152">
        <f ca="1">((Main!$C$4-E34)*(200000*(H34/100))/360)*0.025</f>
        <v>134.51388888888889</v>
      </c>
      <c r="AE34" s="152">
        <f t="shared" ca="1" si="4"/>
        <v>134.51388888888889</v>
      </c>
      <c r="AF34" s="153">
        <f t="shared" ca="1" si="5"/>
        <v>494.00225694444441</v>
      </c>
      <c r="AH34" s="67">
        <f t="shared" si="10"/>
        <v>0</v>
      </c>
      <c r="AI34" s="151">
        <f t="shared" si="6"/>
        <v>0</v>
      </c>
      <c r="AJ34">
        <f ca="1">((Main!$C$4-E34)*(200000*(H34/100))/360)*0.02577</f>
        <v>138.65691666666669</v>
      </c>
      <c r="AK34" s="152">
        <f t="shared" ca="1" si="7"/>
        <v>138.65691666666669</v>
      </c>
      <c r="AL34" s="153">
        <f t="shared" ca="1" si="8"/>
        <v>509.2175264583334</v>
      </c>
    </row>
    <row r="35" spans="1:38" ht="12.75" customHeight="1" x14ac:dyDescent="0.35">
      <c r="A35" s="46" t="s">
        <v>678</v>
      </c>
      <c r="B35" s="38" t="s">
        <v>140</v>
      </c>
      <c r="C35" s="46" t="s">
        <v>678</v>
      </c>
      <c r="D35" s="22" t="s">
        <v>141</v>
      </c>
      <c r="E35" s="75">
        <f t="shared" si="0"/>
        <v>45991</v>
      </c>
      <c r="F35" s="75" t="s">
        <v>563</v>
      </c>
      <c r="G35" s="74">
        <f t="shared" si="1"/>
        <v>46356</v>
      </c>
      <c r="H35" s="19">
        <v>4.75</v>
      </c>
      <c r="I35" s="71" t="s">
        <v>19</v>
      </c>
      <c r="J35" s="2" t="s">
        <v>54</v>
      </c>
      <c r="K35" s="2" t="s">
        <v>759</v>
      </c>
      <c r="L35" s="2" t="s">
        <v>64</v>
      </c>
      <c r="M35" s="3">
        <v>0.55000000000000004</v>
      </c>
      <c r="N35" s="3"/>
      <c r="O35" s="3">
        <v>0.45</v>
      </c>
      <c r="P35" s="3">
        <f t="shared" ref="P35:P40" si="13">M35</f>
        <v>0.55000000000000004</v>
      </c>
      <c r="Q35" s="84"/>
      <c r="R35" s="67">
        <v>0.45</v>
      </c>
      <c r="S35" s="67"/>
      <c r="T35" s="40" t="s">
        <v>548</v>
      </c>
      <c r="U35" s="87" t="s">
        <v>946</v>
      </c>
      <c r="V35" s="137" t="s">
        <v>947</v>
      </c>
      <c r="W35" s="46" t="s">
        <v>678</v>
      </c>
      <c r="Z35" t="b">
        <f t="shared" si="2"/>
        <v>1</v>
      </c>
      <c r="AA35" s="46" t="s">
        <v>678</v>
      </c>
      <c r="AB35" s="67">
        <f t="shared" si="9"/>
        <v>1.1250000000000001E-2</v>
      </c>
      <c r="AC35" s="151">
        <f t="shared" si="3"/>
        <v>2250.0000000000005</v>
      </c>
      <c r="AD35" s="152">
        <f ca="1">((Main!$C$4-E35)*(200000*(H35/100))/360)*0.025</f>
        <v>52.777777777777786</v>
      </c>
      <c r="AE35" s="152">
        <f t="shared" ca="1" si="4"/>
        <v>2302.7777777777783</v>
      </c>
      <c r="AF35" s="153">
        <f t="shared" ca="1" si="5"/>
        <v>8456.9513888888905</v>
      </c>
      <c r="AH35" s="67">
        <f t="shared" si="10"/>
        <v>1.1596500000000001E-2</v>
      </c>
      <c r="AI35" s="151">
        <f t="shared" si="6"/>
        <v>2319.3000000000002</v>
      </c>
      <c r="AJ35">
        <f ca="1">((Main!$C$4-E35)*(200000*(H35/100))/360)*0.02577</f>
        <v>54.403333333333343</v>
      </c>
      <c r="AK35" s="152">
        <f t="shared" ca="1" si="7"/>
        <v>2373.7033333333334</v>
      </c>
      <c r="AL35" s="153">
        <f t="shared" ca="1" si="8"/>
        <v>8717.4254916666669</v>
      </c>
    </row>
    <row r="36" spans="1:38" ht="12.75" customHeight="1" x14ac:dyDescent="0.35">
      <c r="A36" s="76" t="s">
        <v>679</v>
      </c>
      <c r="B36" s="77" t="s">
        <v>142</v>
      </c>
      <c r="C36" s="76" t="s">
        <v>679</v>
      </c>
      <c r="D36" s="78" t="s">
        <v>143</v>
      </c>
      <c r="E36" s="75">
        <f t="shared" si="0"/>
        <v>46047</v>
      </c>
      <c r="F36" s="75" t="s">
        <v>569</v>
      </c>
      <c r="G36" s="74">
        <f t="shared" si="1"/>
        <v>46412</v>
      </c>
      <c r="H36" s="19">
        <v>5</v>
      </c>
      <c r="I36" s="71" t="s">
        <v>19</v>
      </c>
      <c r="J36" s="2" t="s">
        <v>54</v>
      </c>
      <c r="K36" s="2" t="s">
        <v>759</v>
      </c>
      <c r="L36" s="2" t="s">
        <v>64</v>
      </c>
      <c r="M36" s="3">
        <v>0.55000000000000004</v>
      </c>
      <c r="N36" s="3"/>
      <c r="O36" s="3">
        <v>0.45</v>
      </c>
      <c r="P36" s="3">
        <f t="shared" si="13"/>
        <v>0.55000000000000004</v>
      </c>
      <c r="Q36" s="84"/>
      <c r="R36" s="67">
        <v>0.45</v>
      </c>
      <c r="S36" s="67"/>
      <c r="T36" s="40" t="s">
        <v>548</v>
      </c>
      <c r="U36" s="87" t="s">
        <v>946</v>
      </c>
      <c r="V36" s="137" t="s">
        <v>947</v>
      </c>
      <c r="W36" s="76" t="s">
        <v>679</v>
      </c>
      <c r="Z36" t="b">
        <f t="shared" si="2"/>
        <v>1</v>
      </c>
      <c r="AA36" s="76" t="s">
        <v>679</v>
      </c>
      <c r="AB36" s="67">
        <f t="shared" si="9"/>
        <v>1.1250000000000001E-2</v>
      </c>
      <c r="AC36" s="151">
        <f t="shared" si="3"/>
        <v>2250.0000000000005</v>
      </c>
      <c r="AD36" s="152">
        <f ca="1">((Main!$C$4-E36)*(200000*(H36/100))/360)*0.025</f>
        <v>16.666666666666668</v>
      </c>
      <c r="AE36" s="152">
        <f t="shared" ca="1" si="4"/>
        <v>2266.666666666667</v>
      </c>
      <c r="AF36" s="153">
        <f t="shared" ca="1" si="5"/>
        <v>8324.3333333333339</v>
      </c>
      <c r="AH36" s="67">
        <f t="shared" si="10"/>
        <v>1.1596500000000001E-2</v>
      </c>
      <c r="AI36" s="151">
        <f t="shared" si="6"/>
        <v>2319.3000000000002</v>
      </c>
      <c r="AJ36">
        <f ca="1">((Main!$C$4-E36)*(200000*(H36/100))/360)*0.02577</f>
        <v>17.18</v>
      </c>
      <c r="AK36" s="152">
        <f t="shared" ca="1" si="7"/>
        <v>2336.48</v>
      </c>
      <c r="AL36" s="153">
        <f t="shared" ca="1" si="8"/>
        <v>8580.7227999999996</v>
      </c>
    </row>
    <row r="37" spans="1:38" ht="12.75" customHeight="1" x14ac:dyDescent="0.35">
      <c r="A37" s="46" t="s">
        <v>680</v>
      </c>
      <c r="B37" s="38" t="s">
        <v>144</v>
      </c>
      <c r="C37" s="46" t="s">
        <v>680</v>
      </c>
      <c r="D37" s="22" t="s">
        <v>145</v>
      </c>
      <c r="E37" s="75">
        <f t="shared" si="0"/>
        <v>46043</v>
      </c>
      <c r="F37" s="75" t="s">
        <v>566</v>
      </c>
      <c r="G37" s="74">
        <f t="shared" si="1"/>
        <v>46408</v>
      </c>
      <c r="H37" s="19">
        <v>5.375</v>
      </c>
      <c r="I37" s="71" t="s">
        <v>19</v>
      </c>
      <c r="J37" s="2" t="s">
        <v>54</v>
      </c>
      <c r="K37" s="2" t="s">
        <v>759</v>
      </c>
      <c r="L37" s="2" t="s">
        <v>64</v>
      </c>
      <c r="M37" s="3">
        <v>0.55000000000000004</v>
      </c>
      <c r="N37" s="3"/>
      <c r="O37" s="3">
        <v>0.45</v>
      </c>
      <c r="P37" s="3">
        <f t="shared" si="13"/>
        <v>0.55000000000000004</v>
      </c>
      <c r="Q37" s="84"/>
      <c r="R37" s="67">
        <v>0.45</v>
      </c>
      <c r="S37" s="67"/>
      <c r="T37" s="40" t="s">
        <v>548</v>
      </c>
      <c r="U37" s="87" t="s">
        <v>946</v>
      </c>
      <c r="V37" s="137" t="s">
        <v>947</v>
      </c>
      <c r="W37" s="46" t="s">
        <v>680</v>
      </c>
      <c r="Z37" t="b">
        <f t="shared" si="2"/>
        <v>1</v>
      </c>
      <c r="AA37" s="46" t="s">
        <v>680</v>
      </c>
      <c r="AB37" s="67">
        <f t="shared" si="9"/>
        <v>1.1250000000000001E-2</v>
      </c>
      <c r="AC37" s="151">
        <f t="shared" si="3"/>
        <v>2250.0000000000005</v>
      </c>
      <c r="AD37" s="152">
        <f ca="1">((Main!$C$4-E37)*(200000*(H37/100))/360)*0.025</f>
        <v>20.902777777777779</v>
      </c>
      <c r="AE37" s="152">
        <f t="shared" ca="1" si="4"/>
        <v>2270.9027777777783</v>
      </c>
      <c r="AF37" s="153">
        <f t="shared" ca="1" si="5"/>
        <v>8339.8904513888901</v>
      </c>
      <c r="AH37" s="67">
        <f t="shared" si="10"/>
        <v>1.1596500000000001E-2</v>
      </c>
      <c r="AI37" s="151">
        <f t="shared" si="6"/>
        <v>2319.3000000000002</v>
      </c>
      <c r="AJ37">
        <f ca="1">((Main!$C$4-E37)*(200000*(H37/100))/360)*0.02577</f>
        <v>21.546583333333334</v>
      </c>
      <c r="AK37" s="152">
        <f t="shared" ca="1" si="7"/>
        <v>2340.8465833333335</v>
      </c>
      <c r="AL37" s="153">
        <f t="shared" ca="1" si="8"/>
        <v>8596.7590772916665</v>
      </c>
    </row>
    <row r="38" spans="1:38" ht="12.75" customHeight="1" x14ac:dyDescent="0.35">
      <c r="A38" s="46" t="s">
        <v>107</v>
      </c>
      <c r="B38" s="38" t="s">
        <v>108</v>
      </c>
      <c r="C38" s="46" t="s">
        <v>107</v>
      </c>
      <c r="D38" s="22" t="s">
        <v>109</v>
      </c>
      <c r="E38" s="75">
        <f t="shared" si="0"/>
        <v>46051</v>
      </c>
      <c r="F38" s="75" t="s">
        <v>586</v>
      </c>
      <c r="G38" s="74">
        <f t="shared" si="1"/>
        <v>46416</v>
      </c>
      <c r="H38" s="19">
        <v>6.25</v>
      </c>
      <c r="I38" s="71" t="s">
        <v>19</v>
      </c>
      <c r="J38" s="2" t="s">
        <v>4</v>
      </c>
      <c r="K38" s="2" t="s">
        <v>749</v>
      </c>
      <c r="L38" s="2" t="s">
        <v>110</v>
      </c>
      <c r="M38" s="3">
        <v>0.55000000000000004</v>
      </c>
      <c r="N38" s="3"/>
      <c r="O38" s="3">
        <v>0.45</v>
      </c>
      <c r="P38" s="69">
        <f t="shared" si="13"/>
        <v>0.55000000000000004</v>
      </c>
      <c r="Q38" s="85">
        <f>1-P38</f>
        <v>0.44999999999999996</v>
      </c>
      <c r="R38" s="67">
        <v>0.45</v>
      </c>
      <c r="S38" s="67"/>
      <c r="T38" s="40" t="s">
        <v>548</v>
      </c>
      <c r="U38" s="87" t="s">
        <v>928</v>
      </c>
      <c r="V38" s="137" t="s">
        <v>929</v>
      </c>
      <c r="W38" s="46" t="s">
        <v>107</v>
      </c>
      <c r="Z38" t="b">
        <f t="shared" si="2"/>
        <v>1</v>
      </c>
      <c r="AA38" s="46" t="s">
        <v>107</v>
      </c>
      <c r="AB38" s="67">
        <f t="shared" si="9"/>
        <v>1.1250000000000001E-2</v>
      </c>
      <c r="AC38" s="151">
        <f t="shared" si="3"/>
        <v>2250.0000000000005</v>
      </c>
      <c r="AD38" s="152">
        <f ca="1">((Main!$C$4-E38)*(200000*(H38/100))/360)*0.025</f>
        <v>17.361111111111111</v>
      </c>
      <c r="AE38" s="152">
        <f t="shared" ca="1" si="4"/>
        <v>2267.3611111111118</v>
      </c>
      <c r="AF38" s="153">
        <f t="shared" ca="1" si="5"/>
        <v>8326.8836805555584</v>
      </c>
      <c r="AH38" s="67">
        <f t="shared" si="10"/>
        <v>1.1596500000000001E-2</v>
      </c>
      <c r="AI38" s="151">
        <f t="shared" si="6"/>
        <v>2319.3000000000002</v>
      </c>
      <c r="AJ38">
        <f ca="1">((Main!$C$4-E38)*(200000*(H38/100))/360)*0.02577</f>
        <v>17.895833333333336</v>
      </c>
      <c r="AK38" s="152">
        <f t="shared" ca="1" si="7"/>
        <v>2337.1958333333337</v>
      </c>
      <c r="AL38" s="153">
        <f t="shared" ca="1" si="8"/>
        <v>8583.351697916667</v>
      </c>
    </row>
    <row r="39" spans="1:38" ht="12.75" customHeight="1" x14ac:dyDescent="0.35">
      <c r="A39" s="46" t="s">
        <v>691</v>
      </c>
      <c r="B39" s="38" t="s">
        <v>129</v>
      </c>
      <c r="C39" s="46" t="s">
        <v>691</v>
      </c>
      <c r="D39" s="22" t="s">
        <v>130</v>
      </c>
      <c r="E39" s="75">
        <f t="shared" si="0"/>
        <v>45876</v>
      </c>
      <c r="F39" s="75" t="s">
        <v>587</v>
      </c>
      <c r="G39" s="74">
        <f t="shared" si="1"/>
        <v>46241</v>
      </c>
      <c r="H39" s="19">
        <v>8.125</v>
      </c>
      <c r="I39" s="71" t="s">
        <v>19</v>
      </c>
      <c r="J39" s="2" t="s">
        <v>4</v>
      </c>
      <c r="K39" s="2" t="s">
        <v>749</v>
      </c>
      <c r="L39" s="2" t="s">
        <v>5</v>
      </c>
      <c r="M39" s="3">
        <v>0.55000000000000004</v>
      </c>
      <c r="N39" s="3"/>
      <c r="O39" s="3">
        <v>0.45</v>
      </c>
      <c r="P39" s="69">
        <f t="shared" si="13"/>
        <v>0.55000000000000004</v>
      </c>
      <c r="Q39" s="85">
        <f>1-P39</f>
        <v>0.44999999999999996</v>
      </c>
      <c r="R39" s="67">
        <v>0.45</v>
      </c>
      <c r="S39" s="67"/>
      <c r="T39" s="40" t="s">
        <v>548</v>
      </c>
      <c r="U39" s="87" t="s">
        <v>928</v>
      </c>
      <c r="V39" s="137" t="s">
        <v>929</v>
      </c>
      <c r="W39" s="46" t="s">
        <v>691</v>
      </c>
      <c r="Z39" t="b">
        <f t="shared" si="2"/>
        <v>1</v>
      </c>
      <c r="AA39" s="46" t="s">
        <v>691</v>
      </c>
      <c r="AB39" s="67">
        <f t="shared" si="9"/>
        <v>1.1250000000000001E-2</v>
      </c>
      <c r="AC39" s="151">
        <f t="shared" si="3"/>
        <v>2250.0000000000005</v>
      </c>
      <c r="AD39" s="152">
        <f ca="1">((Main!$C$4-E39)*(200000*(H39/100))/360)*0.025</f>
        <v>220.05208333333337</v>
      </c>
      <c r="AE39" s="152">
        <f t="shared" ca="1" si="4"/>
        <v>2470.0520833333339</v>
      </c>
      <c r="AF39" s="153">
        <f t="shared" ca="1" si="5"/>
        <v>9071.2662760416679</v>
      </c>
      <c r="AH39" s="67">
        <f t="shared" si="10"/>
        <v>1.1596500000000001E-2</v>
      </c>
      <c r="AI39" s="151">
        <f t="shared" si="6"/>
        <v>2319.3000000000002</v>
      </c>
      <c r="AJ39">
        <f ca="1">((Main!$C$4-E39)*(200000*(H39/100))/360)*0.02577</f>
        <v>226.82968750000003</v>
      </c>
      <c r="AK39" s="152">
        <f t="shared" ca="1" si="7"/>
        <v>2546.1296875000003</v>
      </c>
      <c r="AL39" s="153">
        <f t="shared" ca="1" si="8"/>
        <v>9350.66127734375</v>
      </c>
    </row>
    <row r="40" spans="1:38" ht="12.75" customHeight="1" x14ac:dyDescent="0.35">
      <c r="A40" s="46" t="s">
        <v>692</v>
      </c>
      <c r="B40" s="38" t="s">
        <v>131</v>
      </c>
      <c r="C40" s="46" t="s">
        <v>692</v>
      </c>
      <c r="D40" s="22" t="s">
        <v>132</v>
      </c>
      <c r="E40" s="75">
        <f t="shared" si="0"/>
        <v>45897</v>
      </c>
      <c r="F40" s="75" t="s">
        <v>588</v>
      </c>
      <c r="G40" s="74">
        <f t="shared" si="1"/>
        <v>46262</v>
      </c>
      <c r="H40" s="19">
        <v>9.625</v>
      </c>
      <c r="I40" s="71" t="s">
        <v>19</v>
      </c>
      <c r="J40" s="2" t="s">
        <v>4</v>
      </c>
      <c r="K40" s="2" t="s">
        <v>749</v>
      </c>
      <c r="L40" s="2" t="s">
        <v>5</v>
      </c>
      <c r="M40" s="3">
        <v>0.55000000000000004</v>
      </c>
      <c r="N40" s="3"/>
      <c r="O40" s="3">
        <v>0.45</v>
      </c>
      <c r="P40" s="69">
        <f t="shared" si="13"/>
        <v>0.55000000000000004</v>
      </c>
      <c r="Q40" s="85">
        <f>1-P40</f>
        <v>0.44999999999999996</v>
      </c>
      <c r="R40" s="67">
        <v>0.45</v>
      </c>
      <c r="S40" s="67"/>
      <c r="T40" s="40" t="s">
        <v>548</v>
      </c>
      <c r="U40" s="87" t="s">
        <v>928</v>
      </c>
      <c r="V40" s="137" t="s">
        <v>929</v>
      </c>
      <c r="W40" s="46" t="s">
        <v>692</v>
      </c>
      <c r="Z40" t="b">
        <f t="shared" si="2"/>
        <v>1</v>
      </c>
      <c r="AA40" s="46" t="s">
        <v>692</v>
      </c>
      <c r="AB40" s="67">
        <f t="shared" si="9"/>
        <v>1.1250000000000001E-2</v>
      </c>
      <c r="AC40" s="151">
        <f t="shared" si="3"/>
        <v>2250.0000000000005</v>
      </c>
      <c r="AD40" s="152">
        <f ca="1">((Main!$C$4-E40)*(200000*(H40/100))/360)*0.025</f>
        <v>232.60416666666666</v>
      </c>
      <c r="AE40" s="152">
        <f t="shared" ca="1" si="4"/>
        <v>2482.604166666667</v>
      </c>
      <c r="AF40" s="153">
        <f t="shared" ca="1" si="5"/>
        <v>9117.363802083335</v>
      </c>
      <c r="AH40" s="67">
        <f t="shared" si="10"/>
        <v>1.1596500000000001E-2</v>
      </c>
      <c r="AI40" s="151">
        <f t="shared" si="6"/>
        <v>2319.3000000000002</v>
      </c>
      <c r="AJ40">
        <f ca="1">((Main!$C$4-E40)*(200000*(H40/100))/360)*0.02577</f>
        <v>239.76837499999999</v>
      </c>
      <c r="AK40" s="152">
        <f t="shared" ca="1" si="7"/>
        <v>2559.0683750000003</v>
      </c>
      <c r="AL40" s="153">
        <f t="shared" ca="1" si="8"/>
        <v>9398.1786071875013</v>
      </c>
    </row>
    <row r="41" spans="1:38" ht="12.75" customHeight="1" x14ac:dyDescent="0.35">
      <c r="A41" s="46" t="s">
        <v>726</v>
      </c>
      <c r="B41" s="38" t="s">
        <v>133</v>
      </c>
      <c r="C41" s="46" t="s">
        <v>726</v>
      </c>
      <c r="D41" s="22" t="s">
        <v>134</v>
      </c>
      <c r="E41" s="75">
        <f t="shared" si="0"/>
        <v>45931</v>
      </c>
      <c r="F41" s="75" t="s">
        <v>561</v>
      </c>
      <c r="G41" s="74">
        <f t="shared" si="1"/>
        <v>46296</v>
      </c>
      <c r="H41" s="19">
        <v>3.95</v>
      </c>
      <c r="I41" s="71" t="s">
        <v>19</v>
      </c>
      <c r="J41" s="2" t="s">
        <v>11</v>
      </c>
      <c r="K41" s="2" t="s">
        <v>751</v>
      </c>
      <c r="L41" s="2" t="s">
        <v>12</v>
      </c>
      <c r="M41" s="3">
        <v>1</v>
      </c>
      <c r="N41" s="3"/>
      <c r="O41" s="3">
        <v>0</v>
      </c>
      <c r="P41" s="69">
        <v>0</v>
      </c>
      <c r="Q41" s="85"/>
      <c r="R41" s="67">
        <v>1</v>
      </c>
      <c r="S41" s="67"/>
      <c r="T41" s="40"/>
      <c r="U41" s="87" t="s">
        <v>937</v>
      </c>
      <c r="V41" s="141" t="s">
        <v>936</v>
      </c>
      <c r="W41" s="46" t="s">
        <v>726</v>
      </c>
      <c r="Z41" t="b">
        <f t="shared" si="2"/>
        <v>1</v>
      </c>
      <c r="AA41" s="46" t="s">
        <v>726</v>
      </c>
      <c r="AB41" s="67">
        <f t="shared" si="9"/>
        <v>2.5000000000000001E-2</v>
      </c>
      <c r="AC41" s="151">
        <f t="shared" si="3"/>
        <v>5000</v>
      </c>
      <c r="AD41" s="152">
        <f ca="1">((Main!$C$4-E41)*(200000*(H41/100))/360)*0.025</f>
        <v>76.805555555555557</v>
      </c>
      <c r="AE41" s="152">
        <f t="shared" ca="1" si="4"/>
        <v>5076.8055555555557</v>
      </c>
      <c r="AF41" s="153">
        <f t="shared" ca="1" si="5"/>
        <v>18644.568402777779</v>
      </c>
      <c r="AH41" s="67">
        <f t="shared" si="10"/>
        <v>2.5770000000000001E-2</v>
      </c>
      <c r="AI41" s="151">
        <f t="shared" si="6"/>
        <v>5154</v>
      </c>
      <c r="AJ41">
        <f ca="1">((Main!$C$4-E41)*(200000*(H41/100))/360)*0.02577</f>
        <v>79.171166666666664</v>
      </c>
      <c r="AK41" s="152">
        <f t="shared" ca="1" si="7"/>
        <v>5233.171166666667</v>
      </c>
      <c r="AL41" s="153">
        <f t="shared" ca="1" si="8"/>
        <v>19218.821109583332</v>
      </c>
    </row>
    <row r="42" spans="1:38" ht="12.75" customHeight="1" x14ac:dyDescent="0.35">
      <c r="A42" s="46" t="s">
        <v>724</v>
      </c>
      <c r="B42" s="38" t="s">
        <v>135</v>
      </c>
      <c r="C42" s="46" t="s">
        <v>724</v>
      </c>
      <c r="D42" s="22" t="s">
        <v>136</v>
      </c>
      <c r="E42" s="75">
        <f t="shared" si="0"/>
        <v>45929</v>
      </c>
      <c r="F42" s="75" t="s">
        <v>560</v>
      </c>
      <c r="G42" s="74">
        <f t="shared" si="1"/>
        <v>46294</v>
      </c>
      <c r="H42" s="19">
        <v>3.3889999999999998</v>
      </c>
      <c r="I42" s="71" t="s">
        <v>19</v>
      </c>
      <c r="J42" s="2" t="s">
        <v>54</v>
      </c>
      <c r="K42" s="2" t="s">
        <v>759</v>
      </c>
      <c r="L42" s="2" t="s">
        <v>137</v>
      </c>
      <c r="M42" s="3">
        <v>0.55000000000000004</v>
      </c>
      <c r="N42" s="3"/>
      <c r="O42" s="3">
        <v>0.45</v>
      </c>
      <c r="P42" s="3">
        <f t="shared" ref="P42:P51" si="14">M42</f>
        <v>0.55000000000000004</v>
      </c>
      <c r="Q42" s="84"/>
      <c r="R42" s="67">
        <v>0.45</v>
      </c>
      <c r="S42" s="67"/>
      <c r="T42" s="40" t="s">
        <v>548</v>
      </c>
      <c r="U42" s="87" t="s">
        <v>946</v>
      </c>
      <c r="V42" s="137" t="s">
        <v>947</v>
      </c>
      <c r="W42" s="46" t="s">
        <v>724</v>
      </c>
      <c r="Z42" t="b">
        <f t="shared" si="2"/>
        <v>1</v>
      </c>
      <c r="AA42" s="46" t="s">
        <v>724</v>
      </c>
      <c r="AB42" s="67">
        <f t="shared" si="9"/>
        <v>1.1250000000000001E-2</v>
      </c>
      <c r="AC42" s="151">
        <f t="shared" si="3"/>
        <v>2250.0000000000005</v>
      </c>
      <c r="AD42" s="152">
        <f ca="1">((Main!$C$4-E42)*(200000*(H42/100))/360)*0.025</f>
        <v>66.838611111111106</v>
      </c>
      <c r="AE42" s="152">
        <f t="shared" ca="1" si="4"/>
        <v>2316.8386111111117</v>
      </c>
      <c r="AF42" s="153">
        <f t="shared" ca="1" si="5"/>
        <v>8508.5897993055569</v>
      </c>
      <c r="AH42" s="67">
        <f t="shared" si="10"/>
        <v>1.1596500000000001E-2</v>
      </c>
      <c r="AI42" s="151">
        <f t="shared" si="6"/>
        <v>2319.3000000000002</v>
      </c>
      <c r="AJ42">
        <f ca="1">((Main!$C$4-E42)*(200000*(H42/100))/360)*0.02577</f>
        <v>68.897240333333329</v>
      </c>
      <c r="AK42" s="152">
        <f t="shared" ca="1" si="7"/>
        <v>2388.1972403333334</v>
      </c>
      <c r="AL42" s="153">
        <f t="shared" ca="1" si="8"/>
        <v>8770.6543651241664</v>
      </c>
    </row>
    <row r="43" spans="1:38" ht="12.75" customHeight="1" x14ac:dyDescent="0.35">
      <c r="A43" s="46" t="s">
        <v>725</v>
      </c>
      <c r="B43" s="38" t="s">
        <v>138</v>
      </c>
      <c r="C43" s="46" t="s">
        <v>725</v>
      </c>
      <c r="D43" s="22" t="s">
        <v>139</v>
      </c>
      <c r="E43" s="75">
        <f t="shared" si="0"/>
        <v>45995</v>
      </c>
      <c r="F43" s="75" t="s">
        <v>564</v>
      </c>
      <c r="G43" s="74">
        <f t="shared" si="1"/>
        <v>46360</v>
      </c>
      <c r="H43" s="19">
        <v>4.9729999999999999</v>
      </c>
      <c r="I43" s="71" t="s">
        <v>19</v>
      </c>
      <c r="J43" s="2" t="s">
        <v>54</v>
      </c>
      <c r="K43" s="2" t="s">
        <v>759</v>
      </c>
      <c r="L43" s="2" t="s">
        <v>137</v>
      </c>
      <c r="M43" s="3">
        <v>0.55000000000000004</v>
      </c>
      <c r="N43" s="3"/>
      <c r="O43" s="3">
        <v>0.45</v>
      </c>
      <c r="P43" s="3">
        <f t="shared" si="14"/>
        <v>0.55000000000000004</v>
      </c>
      <c r="Q43" s="84"/>
      <c r="R43" s="67">
        <v>0.45</v>
      </c>
      <c r="S43" s="67"/>
      <c r="T43" s="40" t="s">
        <v>548</v>
      </c>
      <c r="U43" s="87" t="s">
        <v>946</v>
      </c>
      <c r="V43" s="137" t="s">
        <v>947</v>
      </c>
      <c r="W43" s="46" t="s">
        <v>725</v>
      </c>
      <c r="Z43" t="b">
        <f t="shared" si="2"/>
        <v>1</v>
      </c>
      <c r="AA43" s="46" t="s">
        <v>725</v>
      </c>
      <c r="AB43" s="67">
        <f t="shared" si="9"/>
        <v>1.1250000000000001E-2</v>
      </c>
      <c r="AC43" s="151">
        <f t="shared" si="3"/>
        <v>2250.0000000000005</v>
      </c>
      <c r="AD43" s="152">
        <f ca="1">((Main!$C$4-E43)*(200000*(H43/100))/360)*0.025</f>
        <v>52.492777777777782</v>
      </c>
      <c r="AE43" s="152">
        <f t="shared" ca="1" si="4"/>
        <v>2302.4927777777784</v>
      </c>
      <c r="AF43" s="153">
        <f t="shared" ca="1" si="5"/>
        <v>8455.9047263888915</v>
      </c>
      <c r="AH43" s="67">
        <f t="shared" si="10"/>
        <v>1.1596500000000001E-2</v>
      </c>
      <c r="AI43" s="151">
        <f t="shared" si="6"/>
        <v>2319.3000000000002</v>
      </c>
      <c r="AJ43">
        <f ca="1">((Main!$C$4-E43)*(200000*(H43/100))/360)*0.02577</f>
        <v>54.10955533333334</v>
      </c>
      <c r="AK43" s="152">
        <f t="shared" ca="1" si="7"/>
        <v>2373.4095553333336</v>
      </c>
      <c r="AL43" s="153">
        <f t="shared" ca="1" si="8"/>
        <v>8716.3465919616683</v>
      </c>
    </row>
    <row r="44" spans="1:38" ht="12.75" customHeight="1" x14ac:dyDescent="0.35">
      <c r="A44" s="46" t="s">
        <v>693</v>
      </c>
      <c r="B44" s="38" t="s">
        <v>146</v>
      </c>
      <c r="C44" s="46" t="s">
        <v>693</v>
      </c>
      <c r="D44" s="22" t="s">
        <v>147</v>
      </c>
      <c r="E44" s="75">
        <f t="shared" si="0"/>
        <v>45895</v>
      </c>
      <c r="F44" s="75" t="s">
        <v>590</v>
      </c>
      <c r="G44" s="74">
        <f t="shared" si="1"/>
        <v>46260</v>
      </c>
      <c r="H44" s="19">
        <v>7</v>
      </c>
      <c r="I44" s="71" t="s">
        <v>19</v>
      </c>
      <c r="J44" s="2" t="s">
        <v>4</v>
      </c>
      <c r="K44" s="2" t="s">
        <v>749</v>
      </c>
      <c r="L44" s="2" t="s">
        <v>5</v>
      </c>
      <c r="M44" s="3">
        <v>0.55000000000000004</v>
      </c>
      <c r="N44" s="3"/>
      <c r="O44" s="3">
        <v>0.45</v>
      </c>
      <c r="P44" s="69">
        <f t="shared" si="14"/>
        <v>0.55000000000000004</v>
      </c>
      <c r="Q44" s="85">
        <f t="shared" ref="Q44:Q49" si="15">1-P44</f>
        <v>0.44999999999999996</v>
      </c>
      <c r="R44" s="67">
        <v>0.45</v>
      </c>
      <c r="S44" s="67"/>
      <c r="T44" s="40" t="s">
        <v>548</v>
      </c>
      <c r="U44" s="87" t="s">
        <v>928</v>
      </c>
      <c r="V44" s="137" t="s">
        <v>929</v>
      </c>
      <c r="W44" s="46" t="s">
        <v>693</v>
      </c>
      <c r="Z44" t="b">
        <f t="shared" si="2"/>
        <v>1</v>
      </c>
      <c r="AA44" s="46" t="s">
        <v>693</v>
      </c>
      <c r="AB44" s="67">
        <f t="shared" si="9"/>
        <v>1.1250000000000001E-2</v>
      </c>
      <c r="AC44" s="151">
        <f t="shared" si="3"/>
        <v>2250.0000000000005</v>
      </c>
      <c r="AD44" s="152">
        <f ca="1">((Main!$C$4-E44)*(200000*(H44/100))/360)*0.025</f>
        <v>171.11111111111117</v>
      </c>
      <c r="AE44" s="152">
        <f t="shared" ca="1" si="4"/>
        <v>2421.1111111111118</v>
      </c>
      <c r="AF44" s="153">
        <f t="shared" ca="1" si="5"/>
        <v>8891.5305555555569</v>
      </c>
      <c r="AH44" s="67">
        <f t="shared" si="10"/>
        <v>1.1596500000000001E-2</v>
      </c>
      <c r="AI44" s="151">
        <f t="shared" si="6"/>
        <v>2319.3000000000002</v>
      </c>
      <c r="AJ44">
        <f ca="1">((Main!$C$4-E44)*(200000*(H44/100))/360)*0.02577</f>
        <v>176.38133333333337</v>
      </c>
      <c r="AK44" s="152">
        <f t="shared" ca="1" si="7"/>
        <v>2495.6813333333334</v>
      </c>
      <c r="AL44" s="153">
        <f t="shared" ca="1" si="8"/>
        <v>9165.3896966666671</v>
      </c>
    </row>
    <row r="45" spans="1:38" ht="12.75" customHeight="1" x14ac:dyDescent="0.35">
      <c r="A45" s="46" t="s">
        <v>694</v>
      </c>
      <c r="B45" s="38" t="s">
        <v>148</v>
      </c>
      <c r="C45" s="46" t="s">
        <v>694</v>
      </c>
      <c r="D45" s="22" t="s">
        <v>149</v>
      </c>
      <c r="E45" s="75">
        <f t="shared" si="0"/>
        <v>45957</v>
      </c>
      <c r="F45" s="75" t="s">
        <v>591</v>
      </c>
      <c r="G45" s="74">
        <f t="shared" si="1"/>
        <v>46322</v>
      </c>
      <c r="H45" s="19">
        <v>7.75</v>
      </c>
      <c r="I45" s="71" t="s">
        <v>19</v>
      </c>
      <c r="J45" s="2" t="s">
        <v>4</v>
      </c>
      <c r="K45" s="2" t="s">
        <v>749</v>
      </c>
      <c r="L45" s="2" t="s">
        <v>5</v>
      </c>
      <c r="M45" s="3">
        <v>0.55000000000000004</v>
      </c>
      <c r="N45" s="3"/>
      <c r="O45" s="3">
        <v>0.45</v>
      </c>
      <c r="P45" s="69">
        <f t="shared" si="14"/>
        <v>0.55000000000000004</v>
      </c>
      <c r="Q45" s="85">
        <f t="shared" si="15"/>
        <v>0.44999999999999996</v>
      </c>
      <c r="R45" s="67">
        <v>0.45</v>
      </c>
      <c r="S45" s="67"/>
      <c r="T45" s="40" t="s">
        <v>548</v>
      </c>
      <c r="U45" s="87" t="s">
        <v>928</v>
      </c>
      <c r="V45" s="137" t="s">
        <v>929</v>
      </c>
      <c r="W45" s="46" t="s">
        <v>694</v>
      </c>
      <c r="Z45" t="b">
        <f t="shared" si="2"/>
        <v>1</v>
      </c>
      <c r="AA45" s="46" t="s">
        <v>694</v>
      </c>
      <c r="AB45" s="67">
        <f t="shared" si="9"/>
        <v>1.1250000000000001E-2</v>
      </c>
      <c r="AC45" s="151">
        <f t="shared" si="3"/>
        <v>2250.0000000000005</v>
      </c>
      <c r="AD45" s="152">
        <f ca="1">((Main!$C$4-E45)*(200000*(H45/100))/360)*0.025</f>
        <v>122.70833333333333</v>
      </c>
      <c r="AE45" s="152">
        <f t="shared" ca="1" si="4"/>
        <v>2372.7083333333339</v>
      </c>
      <c r="AF45" s="153">
        <f t="shared" ca="1" si="5"/>
        <v>8713.771354166669</v>
      </c>
      <c r="AH45" s="67">
        <f t="shared" si="10"/>
        <v>1.1596500000000001E-2</v>
      </c>
      <c r="AI45" s="151">
        <f t="shared" si="6"/>
        <v>2319.3000000000002</v>
      </c>
      <c r="AJ45">
        <f ca="1">((Main!$C$4-E45)*(200000*(H45/100))/360)*0.02577</f>
        <v>126.48774999999999</v>
      </c>
      <c r="AK45" s="152">
        <f t="shared" ca="1" si="7"/>
        <v>2445.78775</v>
      </c>
      <c r="AL45" s="153">
        <f t="shared" ca="1" si="8"/>
        <v>8982.1555118750002</v>
      </c>
    </row>
    <row r="46" spans="1:38" ht="12.75" customHeight="1" x14ac:dyDescent="0.35">
      <c r="A46" s="46" t="s">
        <v>695</v>
      </c>
      <c r="B46" s="38" t="s">
        <v>150</v>
      </c>
      <c r="C46" s="46" t="s">
        <v>695</v>
      </c>
      <c r="D46" s="22" t="s">
        <v>151</v>
      </c>
      <c r="E46" s="75">
        <f t="shared" si="0"/>
        <v>45942</v>
      </c>
      <c r="F46" s="75" t="s">
        <v>592</v>
      </c>
      <c r="G46" s="74">
        <f t="shared" si="1"/>
        <v>46307</v>
      </c>
      <c r="H46" s="19">
        <v>8.375</v>
      </c>
      <c r="I46" s="71" t="s">
        <v>19</v>
      </c>
      <c r="J46" s="2" t="s">
        <v>4</v>
      </c>
      <c r="K46" s="2" t="s">
        <v>749</v>
      </c>
      <c r="L46" s="2" t="s">
        <v>5</v>
      </c>
      <c r="M46" s="3">
        <v>0.55000000000000004</v>
      </c>
      <c r="N46" s="3"/>
      <c r="O46" s="3">
        <v>0.45</v>
      </c>
      <c r="P46" s="69">
        <f t="shared" si="14"/>
        <v>0.55000000000000004</v>
      </c>
      <c r="Q46" s="85">
        <f t="shared" si="15"/>
        <v>0.44999999999999996</v>
      </c>
      <c r="R46" s="67">
        <v>0.45</v>
      </c>
      <c r="S46" s="67"/>
      <c r="T46" s="40" t="s">
        <v>548</v>
      </c>
      <c r="U46" s="87" t="s">
        <v>928</v>
      </c>
      <c r="V46" s="137" t="s">
        <v>929</v>
      </c>
      <c r="W46" s="46" t="s">
        <v>695</v>
      </c>
      <c r="Z46" t="b">
        <f t="shared" si="2"/>
        <v>1</v>
      </c>
      <c r="AA46" s="46" t="s">
        <v>695</v>
      </c>
      <c r="AB46" s="67">
        <f t="shared" si="9"/>
        <v>1.1250000000000001E-2</v>
      </c>
      <c r="AC46" s="151">
        <f t="shared" si="3"/>
        <v>2250.0000000000005</v>
      </c>
      <c r="AD46" s="152">
        <f ca="1">((Main!$C$4-E46)*(200000*(H46/100))/360)*0.025</f>
        <v>150.05208333333334</v>
      </c>
      <c r="AE46" s="152">
        <f t="shared" ca="1" si="4"/>
        <v>2400.0520833333339</v>
      </c>
      <c r="AF46" s="153">
        <f t="shared" ca="1" si="5"/>
        <v>8814.191276041669</v>
      </c>
      <c r="AH46" s="67">
        <f t="shared" si="10"/>
        <v>1.1596500000000001E-2</v>
      </c>
      <c r="AI46" s="151">
        <f t="shared" si="6"/>
        <v>2319.3000000000002</v>
      </c>
      <c r="AJ46">
        <f ca="1">((Main!$C$4-E46)*(200000*(H46/100))/360)*0.02577</f>
        <v>154.6736875</v>
      </c>
      <c r="AK46" s="152">
        <f t="shared" ca="1" si="7"/>
        <v>2473.9736875000003</v>
      </c>
      <c r="AL46" s="153">
        <f t="shared" ca="1" si="8"/>
        <v>9085.668367343751</v>
      </c>
    </row>
    <row r="47" spans="1:38" ht="12.75" customHeight="1" x14ac:dyDescent="0.35">
      <c r="A47" s="46" t="s">
        <v>696</v>
      </c>
      <c r="B47" s="38" t="s">
        <v>152</v>
      </c>
      <c r="C47" s="46" t="s">
        <v>696</v>
      </c>
      <c r="D47" s="22" t="s">
        <v>153</v>
      </c>
      <c r="E47" s="75">
        <f t="shared" si="0"/>
        <v>46024</v>
      </c>
      <c r="F47" s="75" t="s">
        <v>593</v>
      </c>
      <c r="G47" s="74">
        <f t="shared" si="1"/>
        <v>46389</v>
      </c>
      <c r="H47" s="19">
        <v>7.25</v>
      </c>
      <c r="I47" s="71" t="s">
        <v>19</v>
      </c>
      <c r="J47" s="2" t="s">
        <v>4</v>
      </c>
      <c r="K47" s="2" t="s">
        <v>749</v>
      </c>
      <c r="L47" s="2" t="s">
        <v>5</v>
      </c>
      <c r="M47" s="3">
        <v>0.55000000000000004</v>
      </c>
      <c r="N47" s="3"/>
      <c r="O47" s="3">
        <v>0.45</v>
      </c>
      <c r="P47" s="69">
        <f t="shared" si="14"/>
        <v>0.55000000000000004</v>
      </c>
      <c r="Q47" s="85">
        <f t="shared" si="15"/>
        <v>0.44999999999999996</v>
      </c>
      <c r="R47" s="67">
        <v>0.45</v>
      </c>
      <c r="S47" s="67"/>
      <c r="T47" s="40" t="s">
        <v>548</v>
      </c>
      <c r="U47" s="87" t="s">
        <v>928</v>
      </c>
      <c r="V47" s="137" t="s">
        <v>929</v>
      </c>
      <c r="W47" s="46" t="s">
        <v>696</v>
      </c>
      <c r="Z47" t="b">
        <f t="shared" si="2"/>
        <v>1</v>
      </c>
      <c r="AA47" s="46" t="s">
        <v>696</v>
      </c>
      <c r="AB47" s="67">
        <f t="shared" si="9"/>
        <v>1.1250000000000001E-2</v>
      </c>
      <c r="AC47" s="151">
        <f t="shared" si="3"/>
        <v>2250.0000000000005</v>
      </c>
      <c r="AD47" s="152">
        <f ca="1">((Main!$C$4-E47)*(200000*(H47/100))/360)*0.025</f>
        <v>47.326388888888886</v>
      </c>
      <c r="AE47" s="152">
        <f t="shared" ca="1" si="4"/>
        <v>2297.3263888888891</v>
      </c>
      <c r="AF47" s="153">
        <f t="shared" ca="1" si="5"/>
        <v>8436.9311631944456</v>
      </c>
      <c r="AH47" s="67">
        <f t="shared" si="10"/>
        <v>1.1596500000000001E-2</v>
      </c>
      <c r="AI47" s="151">
        <f t="shared" si="6"/>
        <v>2319.3000000000002</v>
      </c>
      <c r="AJ47">
        <f ca="1">((Main!$C$4-E47)*(200000*(H47/100))/360)*0.02577</f>
        <v>48.78404166666666</v>
      </c>
      <c r="AK47" s="152">
        <f t="shared" ca="1" si="7"/>
        <v>2368.084041666667</v>
      </c>
      <c r="AL47" s="153">
        <f t="shared" ca="1" si="8"/>
        <v>8696.7886430208346</v>
      </c>
    </row>
    <row r="48" spans="1:38" ht="12.75" customHeight="1" x14ac:dyDescent="0.35">
      <c r="A48" s="46" t="s">
        <v>697</v>
      </c>
      <c r="B48" s="38" t="s">
        <v>154</v>
      </c>
      <c r="C48" s="46" t="s">
        <v>697</v>
      </c>
      <c r="D48" s="22" t="s">
        <v>155</v>
      </c>
      <c r="E48" s="75">
        <f t="shared" si="0"/>
        <v>45876</v>
      </c>
      <c r="F48" s="75" t="s">
        <v>587</v>
      </c>
      <c r="G48" s="74">
        <f t="shared" si="1"/>
        <v>46241</v>
      </c>
      <c r="H48" s="19">
        <v>7.75</v>
      </c>
      <c r="I48" s="71" t="s">
        <v>19</v>
      </c>
      <c r="J48" s="2" t="s">
        <v>4</v>
      </c>
      <c r="K48" s="2" t="s">
        <v>749</v>
      </c>
      <c r="L48" s="2" t="s">
        <v>5</v>
      </c>
      <c r="M48" s="3">
        <v>0.55000000000000004</v>
      </c>
      <c r="N48" s="3"/>
      <c r="O48" s="3">
        <v>0.45</v>
      </c>
      <c r="P48" s="69">
        <f t="shared" si="14"/>
        <v>0.55000000000000004</v>
      </c>
      <c r="Q48" s="85">
        <f t="shared" si="15"/>
        <v>0.44999999999999996</v>
      </c>
      <c r="R48" s="67">
        <v>0.45</v>
      </c>
      <c r="S48" s="67"/>
      <c r="T48" s="40" t="s">
        <v>548</v>
      </c>
      <c r="U48" s="87" t="s">
        <v>928</v>
      </c>
      <c r="V48" s="137" t="s">
        <v>929</v>
      </c>
      <c r="W48" s="46" t="s">
        <v>697</v>
      </c>
      <c r="Z48" t="b">
        <f t="shared" si="2"/>
        <v>1</v>
      </c>
      <c r="AA48" s="46" t="s">
        <v>697</v>
      </c>
      <c r="AB48" s="67">
        <f t="shared" si="9"/>
        <v>1.1250000000000001E-2</v>
      </c>
      <c r="AC48" s="151">
        <f t="shared" si="3"/>
        <v>2250.0000000000005</v>
      </c>
      <c r="AD48" s="152">
        <f ca="1">((Main!$C$4-E48)*(200000*(H48/100))/360)*0.025</f>
        <v>209.89583333333337</v>
      </c>
      <c r="AE48" s="152">
        <f t="shared" ca="1" si="4"/>
        <v>2459.8958333333339</v>
      </c>
      <c r="AF48" s="153">
        <f t="shared" ca="1" si="5"/>
        <v>9033.9674479166679</v>
      </c>
      <c r="AH48" s="67">
        <f t="shared" si="10"/>
        <v>1.1596500000000001E-2</v>
      </c>
      <c r="AI48" s="151">
        <f t="shared" si="6"/>
        <v>2319.3000000000002</v>
      </c>
      <c r="AJ48">
        <f ca="1">((Main!$C$4-E48)*(200000*(H48/100))/360)*0.02577</f>
        <v>216.36062500000003</v>
      </c>
      <c r="AK48" s="152">
        <f t="shared" ca="1" si="7"/>
        <v>2535.6606250000004</v>
      </c>
      <c r="AL48" s="153">
        <f t="shared" ca="1" si="8"/>
        <v>9312.2136453125022</v>
      </c>
    </row>
    <row r="49" spans="1:38" ht="12.75" customHeight="1" x14ac:dyDescent="0.35">
      <c r="A49" s="46" t="s">
        <v>698</v>
      </c>
      <c r="B49" s="38" t="s">
        <v>156</v>
      </c>
      <c r="C49" s="46" t="s">
        <v>698</v>
      </c>
      <c r="D49" s="22" t="s">
        <v>157</v>
      </c>
      <c r="E49" s="75">
        <f t="shared" si="0"/>
        <v>45894</v>
      </c>
      <c r="F49" s="75" t="s">
        <v>594</v>
      </c>
      <c r="G49" s="74">
        <f t="shared" si="1"/>
        <v>46259</v>
      </c>
      <c r="H49" s="19">
        <v>8</v>
      </c>
      <c r="I49" s="71" t="s">
        <v>19</v>
      </c>
      <c r="J49" s="2" t="s">
        <v>4</v>
      </c>
      <c r="K49" s="2" t="s">
        <v>749</v>
      </c>
      <c r="L49" s="2" t="s">
        <v>5</v>
      </c>
      <c r="M49" s="3">
        <v>0.55000000000000004</v>
      </c>
      <c r="N49" s="3"/>
      <c r="O49" s="3">
        <v>0.45</v>
      </c>
      <c r="P49" s="69">
        <f t="shared" si="14"/>
        <v>0.55000000000000004</v>
      </c>
      <c r="Q49" s="85">
        <f t="shared" si="15"/>
        <v>0.44999999999999996</v>
      </c>
      <c r="R49" s="67">
        <v>0.45</v>
      </c>
      <c r="S49" s="67"/>
      <c r="T49" s="40" t="s">
        <v>548</v>
      </c>
      <c r="U49" s="87" t="s">
        <v>928</v>
      </c>
      <c r="V49" s="137" t="s">
        <v>929</v>
      </c>
      <c r="W49" s="46" t="s">
        <v>698</v>
      </c>
      <c r="Z49" t="b">
        <f t="shared" si="2"/>
        <v>1</v>
      </c>
      <c r="AA49" s="46" t="s">
        <v>698</v>
      </c>
      <c r="AB49" s="67">
        <f t="shared" si="9"/>
        <v>1.1250000000000001E-2</v>
      </c>
      <c r="AC49" s="151">
        <f t="shared" si="3"/>
        <v>2250.0000000000005</v>
      </c>
      <c r="AD49" s="152">
        <f ca="1">((Main!$C$4-E49)*(200000*(H49/100))/360)*0.025</f>
        <v>196.66666666666669</v>
      </c>
      <c r="AE49" s="152">
        <f t="shared" ca="1" si="4"/>
        <v>2446.666666666667</v>
      </c>
      <c r="AF49" s="153">
        <f t="shared" ca="1" si="5"/>
        <v>8985.383333333335</v>
      </c>
      <c r="AH49" s="67">
        <f t="shared" si="10"/>
        <v>1.1596500000000001E-2</v>
      </c>
      <c r="AI49" s="151">
        <f t="shared" si="6"/>
        <v>2319.3000000000002</v>
      </c>
      <c r="AJ49">
        <f ca="1">((Main!$C$4-E49)*(200000*(H49/100))/360)*0.02577</f>
        <v>202.72400000000002</v>
      </c>
      <c r="AK49" s="152">
        <f t="shared" ca="1" si="7"/>
        <v>2522.0240000000003</v>
      </c>
      <c r="AL49" s="153">
        <f t="shared" ca="1" si="8"/>
        <v>9262.1331400000017</v>
      </c>
    </row>
    <row r="50" spans="1:38" ht="12.75" customHeight="1" x14ac:dyDescent="0.35">
      <c r="A50" s="46" t="s">
        <v>699</v>
      </c>
      <c r="B50" s="38" t="s">
        <v>183</v>
      </c>
      <c r="C50" s="46" t="s">
        <v>699</v>
      </c>
      <c r="D50" s="22" t="s">
        <v>184</v>
      </c>
      <c r="E50" s="75">
        <f t="shared" si="0"/>
        <v>45913</v>
      </c>
      <c r="F50" s="75" t="s">
        <v>668</v>
      </c>
      <c r="G50" s="74">
        <f t="shared" si="1"/>
        <v>46278</v>
      </c>
      <c r="H50" s="19">
        <v>5.5</v>
      </c>
      <c r="I50" s="71" t="s">
        <v>19</v>
      </c>
      <c r="J50" s="2" t="s">
        <v>54</v>
      </c>
      <c r="K50" s="2" t="s">
        <v>759</v>
      </c>
      <c r="L50" s="2" t="s">
        <v>5</v>
      </c>
      <c r="M50" s="3">
        <v>0.55000000000000004</v>
      </c>
      <c r="N50" s="3"/>
      <c r="O50" s="3">
        <v>0.45</v>
      </c>
      <c r="P50" s="3">
        <f t="shared" si="14"/>
        <v>0.55000000000000004</v>
      </c>
      <c r="Q50" s="84"/>
      <c r="R50" s="67">
        <v>0.45</v>
      </c>
      <c r="S50" s="67"/>
      <c r="T50" s="40" t="s">
        <v>548</v>
      </c>
      <c r="U50" s="87" t="s">
        <v>946</v>
      </c>
      <c r="V50" s="137" t="s">
        <v>947</v>
      </c>
      <c r="W50" s="46" t="s">
        <v>699</v>
      </c>
      <c r="Z50" t="b">
        <f t="shared" si="2"/>
        <v>1</v>
      </c>
      <c r="AA50" s="46" t="s">
        <v>699</v>
      </c>
      <c r="AB50" s="67">
        <f t="shared" si="9"/>
        <v>1.1250000000000001E-2</v>
      </c>
      <c r="AC50" s="151">
        <f t="shared" si="3"/>
        <v>2250.0000000000005</v>
      </c>
      <c r="AD50" s="152">
        <f ca="1">((Main!$C$4-E50)*(200000*(H50/100))/360)*0.025</f>
        <v>120.69444444444444</v>
      </c>
      <c r="AE50" s="152">
        <f t="shared" ca="1" si="4"/>
        <v>2370.6944444444448</v>
      </c>
      <c r="AF50" s="153">
        <f t="shared" ca="1" si="5"/>
        <v>8706.3753472222234</v>
      </c>
      <c r="AH50" s="67">
        <f t="shared" si="10"/>
        <v>1.1596500000000001E-2</v>
      </c>
      <c r="AI50" s="151">
        <f t="shared" si="6"/>
        <v>2319.3000000000002</v>
      </c>
      <c r="AJ50">
        <f ca="1">((Main!$C$4-E50)*(200000*(H50/100))/360)*0.02577</f>
        <v>124.41183333333333</v>
      </c>
      <c r="AK50" s="152">
        <f t="shared" ca="1" si="7"/>
        <v>2443.7118333333337</v>
      </c>
      <c r="AL50" s="153">
        <f t="shared" ca="1" si="8"/>
        <v>8974.5317079166671</v>
      </c>
    </row>
    <row r="51" spans="1:38" ht="12.75" customHeight="1" x14ac:dyDescent="0.35">
      <c r="A51" s="46" t="s">
        <v>700</v>
      </c>
      <c r="B51" s="38" t="s">
        <v>185</v>
      </c>
      <c r="C51" s="46" t="s">
        <v>700</v>
      </c>
      <c r="D51" s="22" t="s">
        <v>186</v>
      </c>
      <c r="E51" s="75">
        <f t="shared" si="0"/>
        <v>45969</v>
      </c>
      <c r="F51" s="75" t="s">
        <v>637</v>
      </c>
      <c r="G51" s="74">
        <f t="shared" si="1"/>
        <v>46334</v>
      </c>
      <c r="H51" s="19">
        <v>5.5</v>
      </c>
      <c r="I51" s="71" t="s">
        <v>19</v>
      </c>
      <c r="J51" s="2" t="s">
        <v>54</v>
      </c>
      <c r="K51" s="2" t="s">
        <v>759</v>
      </c>
      <c r="L51" s="2" t="s">
        <v>5</v>
      </c>
      <c r="M51" s="3">
        <v>0.55000000000000004</v>
      </c>
      <c r="N51" s="3"/>
      <c r="O51" s="3">
        <v>0.45</v>
      </c>
      <c r="P51" s="3">
        <f t="shared" si="14"/>
        <v>0.55000000000000004</v>
      </c>
      <c r="Q51" s="84"/>
      <c r="R51" s="67">
        <v>0.45</v>
      </c>
      <c r="S51" s="67"/>
      <c r="T51" s="40" t="s">
        <v>548</v>
      </c>
      <c r="U51" s="87" t="s">
        <v>946</v>
      </c>
      <c r="V51" s="137" t="s">
        <v>947</v>
      </c>
      <c r="W51" s="46" t="s">
        <v>700</v>
      </c>
      <c r="Z51" t="b">
        <f t="shared" si="2"/>
        <v>1</v>
      </c>
      <c r="AA51" s="46" t="s">
        <v>700</v>
      </c>
      <c r="AB51" s="67">
        <f t="shared" si="9"/>
        <v>1.1250000000000001E-2</v>
      </c>
      <c r="AC51" s="151">
        <f t="shared" si="3"/>
        <v>2250.0000000000005</v>
      </c>
      <c r="AD51" s="152">
        <f ca="1">((Main!$C$4-E51)*(200000*(H51/100))/360)*0.025</f>
        <v>77.916666666666671</v>
      </c>
      <c r="AE51" s="152">
        <f t="shared" ca="1" si="4"/>
        <v>2327.916666666667</v>
      </c>
      <c r="AF51" s="153">
        <f t="shared" ca="1" si="5"/>
        <v>8549.273958333335</v>
      </c>
      <c r="AH51" s="67">
        <f t="shared" si="10"/>
        <v>1.1596500000000001E-2</v>
      </c>
      <c r="AI51" s="151">
        <f t="shared" si="6"/>
        <v>2319.3000000000002</v>
      </c>
      <c r="AJ51">
        <f ca="1">((Main!$C$4-E51)*(200000*(H51/100))/360)*0.02577</f>
        <v>80.316500000000005</v>
      </c>
      <c r="AK51" s="152">
        <f t="shared" ca="1" si="7"/>
        <v>2399.6165000000001</v>
      </c>
      <c r="AL51" s="153">
        <f t="shared" ca="1" si="8"/>
        <v>8812.5915962500003</v>
      </c>
    </row>
    <row r="52" spans="1:38" ht="12.75" customHeight="1" x14ac:dyDescent="0.35">
      <c r="A52" s="46" t="s">
        <v>701</v>
      </c>
      <c r="B52" s="38" t="s">
        <v>176</v>
      </c>
      <c r="C52" s="46" t="s">
        <v>701</v>
      </c>
      <c r="D52" s="22" t="s">
        <v>177</v>
      </c>
      <c r="E52" s="75">
        <f t="shared" si="0"/>
        <v>46052</v>
      </c>
      <c r="F52" s="75" t="s">
        <v>595</v>
      </c>
      <c r="G52" s="74">
        <f t="shared" si="1"/>
        <v>46417</v>
      </c>
      <c r="H52" s="19">
        <v>3.7494999999999998</v>
      </c>
      <c r="I52" s="71" t="s">
        <v>19</v>
      </c>
      <c r="J52" s="2" t="s">
        <v>6</v>
      </c>
      <c r="K52" s="2" t="s">
        <v>736</v>
      </c>
      <c r="L52" s="64" t="s">
        <v>178</v>
      </c>
      <c r="M52" s="3">
        <v>1</v>
      </c>
      <c r="N52" s="3"/>
      <c r="O52" s="3">
        <v>0</v>
      </c>
      <c r="P52" s="69">
        <v>0</v>
      </c>
      <c r="Q52" s="85"/>
      <c r="R52" s="67">
        <v>1</v>
      </c>
      <c r="S52" s="67"/>
      <c r="T52" s="40"/>
      <c r="U52" s="87" t="s">
        <v>938</v>
      </c>
      <c r="V52" s="137" t="s">
        <v>940</v>
      </c>
      <c r="W52" s="46" t="s">
        <v>701</v>
      </c>
      <c r="Z52" t="b">
        <f t="shared" si="2"/>
        <v>1</v>
      </c>
      <c r="AA52" s="46" t="s">
        <v>701</v>
      </c>
      <c r="AB52" s="67">
        <f t="shared" si="9"/>
        <v>2.5000000000000001E-2</v>
      </c>
      <c r="AC52" s="151">
        <f t="shared" si="3"/>
        <v>5000</v>
      </c>
      <c r="AD52" s="152">
        <f ca="1">((Main!$C$4-E52)*(200000*(H52/100))/360)*0.025</f>
        <v>9.8945138888888895</v>
      </c>
      <c r="AE52" s="152">
        <f t="shared" ca="1" si="4"/>
        <v>5009.8945138888885</v>
      </c>
      <c r="AF52" s="153">
        <f t="shared" ca="1" si="5"/>
        <v>18398.837602256943</v>
      </c>
      <c r="AH52" s="67">
        <f t="shared" si="10"/>
        <v>2.5770000000000001E-2</v>
      </c>
      <c r="AI52" s="151">
        <f t="shared" si="6"/>
        <v>5154</v>
      </c>
      <c r="AJ52">
        <f ca="1">((Main!$C$4-E52)*(200000*(H52/100))/360)*0.02577</f>
        <v>10.199264916666667</v>
      </c>
      <c r="AK52" s="152">
        <f t="shared" ca="1" si="7"/>
        <v>5164.1992649166668</v>
      </c>
      <c r="AL52" s="153">
        <f t="shared" ca="1" si="8"/>
        <v>18965.521800406459</v>
      </c>
    </row>
    <row r="53" spans="1:38" ht="27.5" customHeight="1" x14ac:dyDescent="0.35">
      <c r="A53" s="46" t="s">
        <v>727</v>
      </c>
      <c r="B53" s="38" t="s">
        <v>179</v>
      </c>
      <c r="C53" s="46" t="s">
        <v>727</v>
      </c>
      <c r="D53" s="22" t="s">
        <v>180</v>
      </c>
      <c r="E53" s="75">
        <f t="shared" si="0"/>
        <v>46040</v>
      </c>
      <c r="F53" s="75" t="s">
        <v>556</v>
      </c>
      <c r="G53" s="74">
        <f t="shared" si="1"/>
        <v>46405</v>
      </c>
      <c r="H53" s="19">
        <v>3.875</v>
      </c>
      <c r="I53" s="71" t="s">
        <v>19</v>
      </c>
      <c r="J53" s="2" t="s">
        <v>6</v>
      </c>
      <c r="K53" s="2" t="s">
        <v>736</v>
      </c>
      <c r="L53" s="64" t="s">
        <v>178</v>
      </c>
      <c r="M53" s="3">
        <v>1</v>
      </c>
      <c r="N53" s="3"/>
      <c r="O53" s="3">
        <v>0</v>
      </c>
      <c r="P53" s="69">
        <v>0</v>
      </c>
      <c r="Q53" s="85"/>
      <c r="R53" s="67">
        <v>1</v>
      </c>
      <c r="S53" s="67"/>
      <c r="T53" s="40"/>
      <c r="U53" s="87" t="s">
        <v>939</v>
      </c>
      <c r="V53" s="137" t="s">
        <v>940</v>
      </c>
      <c r="W53" s="46" t="s">
        <v>727</v>
      </c>
      <c r="Z53" t="b">
        <f t="shared" si="2"/>
        <v>1</v>
      </c>
      <c r="AA53" s="46" t="s">
        <v>727</v>
      </c>
      <c r="AB53" s="67">
        <f t="shared" si="9"/>
        <v>2.5000000000000001E-2</v>
      </c>
      <c r="AC53" s="151">
        <f t="shared" si="3"/>
        <v>5000</v>
      </c>
      <c r="AD53" s="152">
        <f ca="1">((Main!$C$4-E53)*(200000*(H53/100))/360)*0.025</f>
        <v>16.684027777777779</v>
      </c>
      <c r="AE53" s="152">
        <f t="shared" ca="1" si="4"/>
        <v>5016.6840277777774</v>
      </c>
      <c r="AF53" s="153">
        <f t="shared" ca="1" si="5"/>
        <v>18423.772092013885</v>
      </c>
      <c r="AH53" s="67">
        <f t="shared" si="10"/>
        <v>2.5770000000000001E-2</v>
      </c>
      <c r="AI53" s="151">
        <f t="shared" si="6"/>
        <v>5154</v>
      </c>
      <c r="AJ53">
        <f ca="1">((Main!$C$4-E53)*(200000*(H53/100))/360)*0.02577</f>
        <v>17.197895833333334</v>
      </c>
      <c r="AK53" s="152">
        <f t="shared" ca="1" si="7"/>
        <v>5171.197895833333</v>
      </c>
      <c r="AL53" s="153">
        <f t="shared" ca="1" si="8"/>
        <v>18991.224272447915</v>
      </c>
    </row>
    <row r="54" spans="1:38" ht="72.5" x14ac:dyDescent="0.35">
      <c r="A54" s="46" t="s">
        <v>728</v>
      </c>
      <c r="B54" s="38" t="s">
        <v>181</v>
      </c>
      <c r="C54" s="46" t="s">
        <v>728</v>
      </c>
      <c r="D54" s="22" t="s">
        <v>182</v>
      </c>
      <c r="E54" s="75">
        <f t="shared" si="0"/>
        <v>45926</v>
      </c>
      <c r="F54" s="75" t="s">
        <v>596</v>
      </c>
      <c r="G54" s="74">
        <f t="shared" si="1"/>
        <v>46291</v>
      </c>
      <c r="H54" s="19">
        <v>4.8479999999999999</v>
      </c>
      <c r="I54" s="71" t="s">
        <v>19</v>
      </c>
      <c r="J54" s="2" t="s">
        <v>6</v>
      </c>
      <c r="K54" s="2" t="s">
        <v>736</v>
      </c>
      <c r="L54" s="64" t="s">
        <v>178</v>
      </c>
      <c r="M54" s="3">
        <v>1</v>
      </c>
      <c r="N54" s="3"/>
      <c r="O54" s="3">
        <v>0</v>
      </c>
      <c r="P54" s="69">
        <v>0</v>
      </c>
      <c r="Q54" s="85"/>
      <c r="R54" s="67">
        <v>1</v>
      </c>
      <c r="S54" s="67"/>
      <c r="T54" s="40"/>
      <c r="U54" s="87" t="s">
        <v>939</v>
      </c>
      <c r="V54" s="137" t="s">
        <v>940</v>
      </c>
      <c r="W54" s="46" t="s">
        <v>728</v>
      </c>
      <c r="Z54" t="b">
        <f t="shared" si="2"/>
        <v>1</v>
      </c>
      <c r="AA54" s="46" t="s">
        <v>728</v>
      </c>
      <c r="AB54" s="67">
        <f t="shared" si="9"/>
        <v>2.5000000000000001E-2</v>
      </c>
      <c r="AC54" s="151">
        <f t="shared" si="3"/>
        <v>5000</v>
      </c>
      <c r="AD54" s="152">
        <f ca="1">((Main!$C$4-E54)*(200000*(H54/100))/360)*0.025</f>
        <v>97.633333333333326</v>
      </c>
      <c r="AE54" s="152">
        <f t="shared" ca="1" si="4"/>
        <v>5097.6333333333332</v>
      </c>
      <c r="AF54" s="153">
        <f t="shared" ca="1" si="5"/>
        <v>18721.058416666667</v>
      </c>
      <c r="AH54" s="67">
        <f t="shared" si="10"/>
        <v>2.5770000000000001E-2</v>
      </c>
      <c r="AI54" s="151">
        <f t="shared" si="6"/>
        <v>5154</v>
      </c>
      <c r="AJ54">
        <f ca="1">((Main!$C$4-E54)*(200000*(H54/100))/360)*0.02577</f>
        <v>100.64043999999998</v>
      </c>
      <c r="AK54" s="152">
        <f t="shared" ca="1" si="7"/>
        <v>5254.6404400000001</v>
      </c>
      <c r="AL54" s="153">
        <f t="shared" ca="1" si="8"/>
        <v>19297.667015899999</v>
      </c>
    </row>
    <row r="55" spans="1:38" ht="72.5" x14ac:dyDescent="0.35">
      <c r="A55" s="46" t="s">
        <v>187</v>
      </c>
      <c r="B55" s="38" t="s">
        <v>188</v>
      </c>
      <c r="C55" s="46" t="s">
        <v>187</v>
      </c>
      <c r="D55" s="22" t="s">
        <v>189</v>
      </c>
      <c r="E55" s="75">
        <f t="shared" si="0"/>
        <v>45946</v>
      </c>
      <c r="F55" s="75" t="s">
        <v>599</v>
      </c>
      <c r="G55" s="74">
        <f t="shared" si="1"/>
        <v>46311</v>
      </c>
      <c r="H55" s="19">
        <v>4.5</v>
      </c>
      <c r="I55" s="71" t="s">
        <v>19</v>
      </c>
      <c r="J55" s="2" t="s">
        <v>54</v>
      </c>
      <c r="K55" s="2" t="s">
        <v>758</v>
      </c>
      <c r="L55" s="64" t="s">
        <v>38</v>
      </c>
      <c r="M55" s="3">
        <v>0.51</v>
      </c>
      <c r="N55" s="3"/>
      <c r="O55" s="3">
        <v>0.49</v>
      </c>
      <c r="P55" s="3">
        <v>1</v>
      </c>
      <c r="Q55" s="84"/>
      <c r="R55" s="67">
        <v>0.49</v>
      </c>
      <c r="S55" s="67"/>
      <c r="T55" s="40" t="s">
        <v>548</v>
      </c>
      <c r="U55" s="87" t="s">
        <v>946</v>
      </c>
      <c r="V55" s="137" t="s">
        <v>947</v>
      </c>
      <c r="W55" s="46" t="s">
        <v>187</v>
      </c>
      <c r="Z55" t="b">
        <f t="shared" si="2"/>
        <v>1</v>
      </c>
      <c r="AA55" s="46" t="s">
        <v>187</v>
      </c>
      <c r="AB55" s="67">
        <f t="shared" si="9"/>
        <v>1.225E-2</v>
      </c>
      <c r="AC55" s="151">
        <f t="shared" si="3"/>
        <v>2450</v>
      </c>
      <c r="AD55" s="152">
        <f ca="1">((Main!$C$4-E55)*(200000*(H55/100))/360)*0.025</f>
        <v>78.125</v>
      </c>
      <c r="AE55" s="152">
        <f t="shared" ca="1" si="4"/>
        <v>2528.125</v>
      </c>
      <c r="AF55" s="153">
        <f t="shared" ca="1" si="5"/>
        <v>9284.5390625</v>
      </c>
      <c r="AH55" s="67">
        <f t="shared" si="10"/>
        <v>1.2627300000000001E-2</v>
      </c>
      <c r="AI55" s="151">
        <f t="shared" si="6"/>
        <v>2525.46</v>
      </c>
      <c r="AJ55">
        <f ca="1">((Main!$C$4-E55)*(200000*(H55/100))/360)*0.02577</f>
        <v>80.53125</v>
      </c>
      <c r="AK55" s="152">
        <f t="shared" ca="1" si="7"/>
        <v>2605.99125</v>
      </c>
      <c r="AL55" s="153">
        <f t="shared" ca="1" si="8"/>
        <v>9570.5028656249997</v>
      </c>
    </row>
    <row r="56" spans="1:38" ht="12.75" customHeight="1" x14ac:dyDescent="0.35">
      <c r="A56" s="46" t="s">
        <v>702</v>
      </c>
      <c r="B56" s="38" t="s">
        <v>158</v>
      </c>
      <c r="C56" s="46" t="s">
        <v>702</v>
      </c>
      <c r="D56" s="22" t="s">
        <v>159</v>
      </c>
      <c r="E56" s="75">
        <f t="shared" si="0"/>
        <v>45885</v>
      </c>
      <c r="F56" s="75" t="s">
        <v>600</v>
      </c>
      <c r="G56" s="74">
        <f t="shared" si="1"/>
        <v>46250</v>
      </c>
      <c r="H56" s="19">
        <v>4.8</v>
      </c>
      <c r="I56" s="71" t="s">
        <v>19</v>
      </c>
      <c r="J56" s="158" t="s">
        <v>6</v>
      </c>
      <c r="K56" s="162" t="s">
        <v>732</v>
      </c>
      <c r="L56" s="157" t="s">
        <v>64</v>
      </c>
      <c r="M56" s="3">
        <v>1</v>
      </c>
      <c r="N56" s="3"/>
      <c r="O56" s="3">
        <v>0</v>
      </c>
      <c r="P56" s="69">
        <f>M56</f>
        <v>1</v>
      </c>
      <c r="Q56" s="85"/>
      <c r="R56" s="67">
        <v>0.66669999999999996</v>
      </c>
      <c r="S56" s="67"/>
      <c r="T56" s="40"/>
      <c r="U56" s="161" t="s">
        <v>949</v>
      </c>
      <c r="V56" s="174" t="s">
        <v>962</v>
      </c>
      <c r="W56" s="46" t="s">
        <v>702</v>
      </c>
      <c r="Z56" t="b">
        <f t="shared" si="2"/>
        <v>1</v>
      </c>
      <c r="AA56" s="46" t="s">
        <v>702</v>
      </c>
      <c r="AB56" s="67">
        <f t="shared" si="9"/>
        <v>1.6667499999999998E-2</v>
      </c>
      <c r="AC56" s="151">
        <f t="shared" si="3"/>
        <v>3333.4999999999995</v>
      </c>
      <c r="AD56" s="152">
        <f ca="1">((Main!$C$4-E56)*(200000*(H56/100))/360)*0.025</f>
        <v>124</v>
      </c>
      <c r="AE56" s="152">
        <f t="shared" ca="1" si="4"/>
        <v>3457.4999999999995</v>
      </c>
      <c r="AF56" s="153">
        <f t="shared" ca="1" si="5"/>
        <v>12697.668749999997</v>
      </c>
      <c r="AH56" s="67">
        <f t="shared" si="10"/>
        <v>1.7180859E-2</v>
      </c>
      <c r="AI56" s="151">
        <f t="shared" si="6"/>
        <v>3436.1718000000001</v>
      </c>
      <c r="AJ56">
        <f ca="1">((Main!$C$4-E56)*(200000*(H56/100))/360)*0.02577</f>
        <v>127.81920000000001</v>
      </c>
      <c r="AK56" s="152">
        <f t="shared" ca="1" si="7"/>
        <v>3563.991</v>
      </c>
      <c r="AL56" s="153">
        <f t="shared" ca="1" si="8"/>
        <v>13088.7569475</v>
      </c>
    </row>
    <row r="57" spans="1:38" ht="12.75" customHeight="1" x14ac:dyDescent="0.35">
      <c r="A57" s="46" t="s">
        <v>703</v>
      </c>
      <c r="B57" s="38" t="s">
        <v>160</v>
      </c>
      <c r="C57" s="46" t="s">
        <v>703</v>
      </c>
      <c r="D57" s="22" t="s">
        <v>161</v>
      </c>
      <c r="E57" s="75">
        <f t="shared" si="0"/>
        <v>46013</v>
      </c>
      <c r="F57" s="75" t="s">
        <v>601</v>
      </c>
      <c r="G57" s="74">
        <f t="shared" si="1"/>
        <v>46378</v>
      </c>
      <c r="H57" s="19">
        <v>1.9590000000000001</v>
      </c>
      <c r="I57" s="71" t="s">
        <v>19</v>
      </c>
      <c r="J57" s="158" t="s">
        <v>6</v>
      </c>
      <c r="K57" s="162" t="s">
        <v>732</v>
      </c>
      <c r="L57" s="158" t="s">
        <v>64</v>
      </c>
      <c r="M57" s="3">
        <v>1</v>
      </c>
      <c r="N57" s="3"/>
      <c r="O57" s="3">
        <v>0</v>
      </c>
      <c r="P57" s="69">
        <f>M57</f>
        <v>1</v>
      </c>
      <c r="Q57" s="85"/>
      <c r="R57" s="67">
        <v>0.66669999999999996</v>
      </c>
      <c r="S57" s="67"/>
      <c r="T57" s="40"/>
      <c r="U57" s="161" t="s">
        <v>949</v>
      </c>
      <c r="V57" s="174" t="s">
        <v>962</v>
      </c>
      <c r="W57" s="46" t="s">
        <v>703</v>
      </c>
      <c r="Z57" t="b">
        <f t="shared" si="2"/>
        <v>1</v>
      </c>
      <c r="AA57" s="46" t="s">
        <v>703</v>
      </c>
      <c r="AB57" s="67">
        <f t="shared" si="9"/>
        <v>1.6667499999999998E-2</v>
      </c>
      <c r="AC57" s="151">
        <f t="shared" si="3"/>
        <v>3333.4999999999995</v>
      </c>
      <c r="AD57" s="152">
        <f ca="1">((Main!$C$4-E57)*(200000*(H57/100))/360)*0.025</f>
        <v>15.780833333333334</v>
      </c>
      <c r="AE57" s="152">
        <f t="shared" ca="1" si="4"/>
        <v>3349.2808333333328</v>
      </c>
      <c r="AF57" s="153">
        <f t="shared" ca="1" si="5"/>
        <v>12300.233860416663</v>
      </c>
      <c r="AH57" s="67">
        <f t="shared" si="10"/>
        <v>1.7180859E-2</v>
      </c>
      <c r="AI57" s="151">
        <f t="shared" si="6"/>
        <v>3436.1718000000001</v>
      </c>
      <c r="AJ57">
        <f ca="1">((Main!$C$4-E57)*(200000*(H57/100))/360)*0.02577</f>
        <v>16.266883</v>
      </c>
      <c r="AK57" s="152">
        <f t="shared" ca="1" si="7"/>
        <v>3452.4386829999999</v>
      </c>
      <c r="AL57" s="153">
        <f t="shared" ca="1" si="8"/>
        <v>12679.081063317499</v>
      </c>
    </row>
    <row r="58" spans="1:38" ht="12.75" customHeight="1" x14ac:dyDescent="0.35">
      <c r="A58" s="46" t="s">
        <v>704</v>
      </c>
      <c r="B58" s="38" t="s">
        <v>162</v>
      </c>
      <c r="C58" s="46" t="s">
        <v>704</v>
      </c>
      <c r="D58" s="22" t="s">
        <v>163</v>
      </c>
      <c r="E58" s="75">
        <f t="shared" si="0"/>
        <v>45885</v>
      </c>
      <c r="F58" s="75" t="s">
        <v>600</v>
      </c>
      <c r="G58" s="74">
        <f t="shared" si="1"/>
        <v>46250</v>
      </c>
      <c r="H58" s="19">
        <v>2.74</v>
      </c>
      <c r="I58" s="71" t="s">
        <v>19</v>
      </c>
      <c r="J58" s="158" t="s">
        <v>6</v>
      </c>
      <c r="K58" s="162" t="s">
        <v>732</v>
      </c>
      <c r="L58" s="158" t="s">
        <v>64</v>
      </c>
      <c r="M58" s="3">
        <v>1</v>
      </c>
      <c r="N58" s="3"/>
      <c r="O58" s="3">
        <v>0</v>
      </c>
      <c r="P58" s="69">
        <f>M58</f>
        <v>1</v>
      </c>
      <c r="Q58" s="85"/>
      <c r="R58" s="67">
        <v>0.66669999999999996</v>
      </c>
      <c r="S58" s="67"/>
      <c r="T58" s="40"/>
      <c r="U58" s="161" t="s">
        <v>949</v>
      </c>
      <c r="V58" s="174" t="s">
        <v>962</v>
      </c>
      <c r="W58" s="46" t="s">
        <v>704</v>
      </c>
      <c r="Z58" t="b">
        <f t="shared" si="2"/>
        <v>1</v>
      </c>
      <c r="AA58" s="46" t="s">
        <v>704</v>
      </c>
      <c r="AB58" s="67">
        <f t="shared" si="9"/>
        <v>1.6667499999999998E-2</v>
      </c>
      <c r="AC58" s="151">
        <f t="shared" si="3"/>
        <v>3333.4999999999995</v>
      </c>
      <c r="AD58" s="152">
        <f ca="1">((Main!$C$4-E58)*(200000*(H58/100))/360)*0.025</f>
        <v>70.783333333333346</v>
      </c>
      <c r="AE58" s="152">
        <f t="shared" ca="1" si="4"/>
        <v>3404.2833333333328</v>
      </c>
      <c r="AF58" s="153">
        <f t="shared" ca="1" si="5"/>
        <v>12502.230541666664</v>
      </c>
      <c r="AH58" s="67">
        <f t="shared" si="10"/>
        <v>1.7180859E-2</v>
      </c>
      <c r="AI58" s="151">
        <f t="shared" si="6"/>
        <v>3436.1718000000001</v>
      </c>
      <c r="AJ58">
        <f ca="1">((Main!$C$4-E58)*(200000*(H58/100))/360)*0.02577</f>
        <v>72.963460000000012</v>
      </c>
      <c r="AK58" s="152">
        <f t="shared" ca="1" si="7"/>
        <v>3509.13526</v>
      </c>
      <c r="AL58" s="153">
        <f t="shared" ca="1" si="8"/>
        <v>12887.29924235</v>
      </c>
    </row>
    <row r="59" spans="1:38" ht="12.75" customHeight="1" x14ac:dyDescent="0.35">
      <c r="A59" s="46" t="s">
        <v>705</v>
      </c>
      <c r="B59" s="38" t="s">
        <v>164</v>
      </c>
      <c r="C59" s="46" t="s">
        <v>705</v>
      </c>
      <c r="D59" s="22" t="s">
        <v>165</v>
      </c>
      <c r="E59" s="75">
        <f t="shared" si="0"/>
        <v>45949</v>
      </c>
      <c r="F59" s="75" t="s">
        <v>602</v>
      </c>
      <c r="G59" s="74">
        <f t="shared" si="1"/>
        <v>46314</v>
      </c>
      <c r="H59" s="19">
        <v>3.375</v>
      </c>
      <c r="I59" s="71" t="s">
        <v>19</v>
      </c>
      <c r="J59" s="2" t="s">
        <v>11</v>
      </c>
      <c r="K59" s="2" t="s">
        <v>751</v>
      </c>
      <c r="L59" s="2" t="s">
        <v>12</v>
      </c>
      <c r="M59" s="3">
        <v>1</v>
      </c>
      <c r="N59" s="3"/>
      <c r="O59" s="3">
        <v>0</v>
      </c>
      <c r="P59" s="69">
        <v>0</v>
      </c>
      <c r="Q59" s="85"/>
      <c r="R59" s="67">
        <v>1</v>
      </c>
      <c r="S59" s="67"/>
      <c r="T59" s="40"/>
      <c r="U59" s="87" t="s">
        <v>937</v>
      </c>
      <c r="V59" s="141" t="s">
        <v>936</v>
      </c>
      <c r="W59" s="46" t="s">
        <v>705</v>
      </c>
      <c r="Z59" t="b">
        <f t="shared" si="2"/>
        <v>1</v>
      </c>
      <c r="AA59" s="46" t="s">
        <v>705</v>
      </c>
      <c r="AB59" s="67">
        <f t="shared" si="9"/>
        <v>2.5000000000000001E-2</v>
      </c>
      <c r="AC59" s="151">
        <f t="shared" si="3"/>
        <v>5000</v>
      </c>
      <c r="AD59" s="152">
        <f ca="1">((Main!$C$4-E59)*(200000*(H59/100))/360)*0.025</f>
        <v>57.1875</v>
      </c>
      <c r="AE59" s="152">
        <f t="shared" ca="1" si="4"/>
        <v>5057.1875</v>
      </c>
      <c r="AF59" s="153">
        <f t="shared" ca="1" si="5"/>
        <v>18572.521093749998</v>
      </c>
      <c r="AH59" s="67">
        <f t="shared" si="10"/>
        <v>2.5770000000000001E-2</v>
      </c>
      <c r="AI59" s="151">
        <f t="shared" si="6"/>
        <v>5154</v>
      </c>
      <c r="AJ59">
        <f ca="1">((Main!$C$4-E59)*(200000*(H59/100))/360)*0.02577</f>
        <v>58.948875000000001</v>
      </c>
      <c r="AK59" s="152">
        <f t="shared" ca="1" si="7"/>
        <v>5212.948875</v>
      </c>
      <c r="AL59" s="153">
        <f t="shared" ca="1" si="8"/>
        <v>19144.5547434375</v>
      </c>
    </row>
    <row r="60" spans="1:38" ht="12.75" customHeight="1" x14ac:dyDescent="0.35">
      <c r="A60" s="46" t="s">
        <v>706</v>
      </c>
      <c r="B60" s="38" t="s">
        <v>166</v>
      </c>
      <c r="C60" s="46" t="s">
        <v>706</v>
      </c>
      <c r="D60" s="22" t="s">
        <v>167</v>
      </c>
      <c r="E60" s="75">
        <f t="shared" si="0"/>
        <v>45980</v>
      </c>
      <c r="F60" s="75" t="s">
        <v>575</v>
      </c>
      <c r="G60" s="74">
        <f t="shared" si="1"/>
        <v>46345</v>
      </c>
      <c r="H60" s="19">
        <v>4.5720000000000001</v>
      </c>
      <c r="I60" s="71" t="s">
        <v>19</v>
      </c>
      <c r="J60" s="158" t="s">
        <v>6</v>
      </c>
      <c r="K60" s="162" t="s">
        <v>732</v>
      </c>
      <c r="L60" s="158" t="s">
        <v>64</v>
      </c>
      <c r="M60" s="3">
        <v>1</v>
      </c>
      <c r="N60" s="3"/>
      <c r="O60" s="3">
        <v>0</v>
      </c>
      <c r="P60" s="69">
        <f>M60</f>
        <v>1</v>
      </c>
      <c r="Q60" s="85"/>
      <c r="R60" s="67">
        <v>0.66669999999999996</v>
      </c>
      <c r="S60" s="67"/>
      <c r="T60" s="40"/>
      <c r="U60" s="161" t="s">
        <v>949</v>
      </c>
      <c r="V60" s="174" t="s">
        <v>962</v>
      </c>
      <c r="W60" s="46" t="s">
        <v>706</v>
      </c>
      <c r="Z60" t="b">
        <f t="shared" si="2"/>
        <v>1</v>
      </c>
      <c r="AA60" s="46" t="s">
        <v>706</v>
      </c>
      <c r="AB60" s="67">
        <f t="shared" si="9"/>
        <v>1.6667499999999998E-2</v>
      </c>
      <c r="AC60" s="151">
        <f t="shared" si="3"/>
        <v>3333.4999999999995</v>
      </c>
      <c r="AD60" s="152">
        <f ca="1">((Main!$C$4-E60)*(200000*(H60/100))/360)*0.025</f>
        <v>57.785000000000004</v>
      </c>
      <c r="AE60" s="152">
        <f t="shared" ca="1" si="4"/>
        <v>3391.2849999999994</v>
      </c>
      <c r="AF60" s="153">
        <f t="shared" ca="1" si="5"/>
        <v>12454.494162499997</v>
      </c>
      <c r="AH60" s="67">
        <f t="shared" si="10"/>
        <v>1.7180859E-2</v>
      </c>
      <c r="AI60" s="151">
        <f t="shared" si="6"/>
        <v>3436.1718000000001</v>
      </c>
      <c r="AJ60">
        <f ca="1">((Main!$C$4-E60)*(200000*(H60/100))/360)*0.02577</f>
        <v>59.564778000000004</v>
      </c>
      <c r="AK60" s="152">
        <f t="shared" ca="1" si="7"/>
        <v>3495.736578</v>
      </c>
      <c r="AL60" s="153">
        <f t="shared" ca="1" si="8"/>
        <v>12838.092582705</v>
      </c>
    </row>
    <row r="61" spans="1:38" ht="12.75" customHeight="1" x14ac:dyDescent="0.35">
      <c r="A61" s="46" t="s">
        <v>707</v>
      </c>
      <c r="B61" s="38" t="s">
        <v>170</v>
      </c>
      <c r="C61" s="46" t="s">
        <v>707</v>
      </c>
      <c r="D61" s="22" t="s">
        <v>171</v>
      </c>
      <c r="E61" s="75">
        <f t="shared" si="0"/>
        <v>45904</v>
      </c>
      <c r="F61" s="75" t="s">
        <v>603</v>
      </c>
      <c r="G61" s="74">
        <f t="shared" si="1"/>
        <v>46269</v>
      </c>
      <c r="H61" s="19">
        <v>5.2430000000000003</v>
      </c>
      <c r="I61" s="71" t="s">
        <v>19</v>
      </c>
      <c r="J61" s="158" t="s">
        <v>6</v>
      </c>
      <c r="K61" s="158" t="s">
        <v>732</v>
      </c>
      <c r="L61" s="158" t="s">
        <v>64</v>
      </c>
      <c r="M61" s="3">
        <v>1</v>
      </c>
      <c r="N61" s="3"/>
      <c r="O61" s="3">
        <v>0</v>
      </c>
      <c r="P61" s="69">
        <f>M61</f>
        <v>1</v>
      </c>
      <c r="Q61" s="85"/>
      <c r="R61" s="67">
        <v>0.66669999999999996</v>
      </c>
      <c r="S61" s="67"/>
      <c r="T61" s="40"/>
      <c r="U61" s="161" t="s">
        <v>949</v>
      </c>
      <c r="V61" s="174" t="s">
        <v>962</v>
      </c>
      <c r="W61" s="46" t="s">
        <v>707</v>
      </c>
      <c r="Z61" t="b">
        <f t="shared" si="2"/>
        <v>1</v>
      </c>
      <c r="AA61" s="46" t="s">
        <v>707</v>
      </c>
      <c r="AB61" s="67">
        <f t="shared" si="9"/>
        <v>1.6667499999999998E-2</v>
      </c>
      <c r="AC61" s="151">
        <f t="shared" si="3"/>
        <v>3333.4999999999995</v>
      </c>
      <c r="AD61" s="152">
        <f ca="1">((Main!$C$4-E61)*(200000*(H61/100))/360)*0.025</f>
        <v>121.60847222222222</v>
      </c>
      <c r="AE61" s="152">
        <f t="shared" ca="1" si="4"/>
        <v>3455.1084722222217</v>
      </c>
      <c r="AF61" s="153">
        <f t="shared" ca="1" si="5"/>
        <v>12688.885864236108</v>
      </c>
      <c r="AH61" s="67">
        <f t="shared" si="10"/>
        <v>1.7180859E-2</v>
      </c>
      <c r="AI61" s="151">
        <f t="shared" si="6"/>
        <v>3436.1718000000001</v>
      </c>
      <c r="AJ61">
        <f ca="1">((Main!$C$4-E61)*(200000*(H61/100))/360)*0.02577</f>
        <v>125.35401316666666</v>
      </c>
      <c r="AK61" s="152">
        <f t="shared" ca="1" si="7"/>
        <v>3561.5258131666669</v>
      </c>
      <c r="AL61" s="153">
        <f t="shared" ca="1" si="8"/>
        <v>13079.703548854584</v>
      </c>
    </row>
    <row r="62" spans="1:38" ht="12.75" customHeight="1" x14ac:dyDescent="0.35">
      <c r="A62" s="46" t="s">
        <v>707</v>
      </c>
      <c r="B62" s="38" t="s">
        <v>168</v>
      </c>
      <c r="C62" s="46" t="s">
        <v>707</v>
      </c>
      <c r="D62" s="22" t="s">
        <v>169</v>
      </c>
      <c r="E62" s="75">
        <f t="shared" si="0"/>
        <v>45980</v>
      </c>
      <c r="F62" s="75" t="s">
        <v>575</v>
      </c>
      <c r="G62" s="74">
        <f t="shared" si="1"/>
        <v>46345</v>
      </c>
      <c r="H62" s="19">
        <v>4.625</v>
      </c>
      <c r="I62" s="71" t="s">
        <v>19</v>
      </c>
      <c r="J62" s="2" t="s">
        <v>11</v>
      </c>
      <c r="K62" s="20" t="s">
        <v>751</v>
      </c>
      <c r="L62" s="2" t="s">
        <v>12</v>
      </c>
      <c r="M62" s="3">
        <v>1</v>
      </c>
      <c r="N62" s="3"/>
      <c r="O62" s="3">
        <v>0</v>
      </c>
      <c r="P62" s="69">
        <v>0</v>
      </c>
      <c r="Q62" s="85"/>
      <c r="R62" s="67">
        <v>1</v>
      </c>
      <c r="S62" s="67"/>
      <c r="T62" s="40"/>
      <c r="U62" s="87" t="s">
        <v>937</v>
      </c>
      <c r="V62" s="141" t="s">
        <v>936</v>
      </c>
      <c r="W62" s="46" t="s">
        <v>707</v>
      </c>
      <c r="Z62" t="b">
        <f t="shared" si="2"/>
        <v>1</v>
      </c>
      <c r="AA62" s="46" t="s">
        <v>707</v>
      </c>
      <c r="AB62" s="67">
        <f t="shared" si="9"/>
        <v>2.5000000000000001E-2</v>
      </c>
      <c r="AC62" s="151">
        <f t="shared" si="3"/>
        <v>5000</v>
      </c>
      <c r="AD62" s="152">
        <f ca="1">((Main!$C$4-E62)*(200000*(H62/100))/360)*0.025</f>
        <v>58.454861111111114</v>
      </c>
      <c r="AE62" s="152">
        <f t="shared" ca="1" si="4"/>
        <v>5058.4548611111113</v>
      </c>
      <c r="AF62" s="153">
        <f t="shared" ca="1" si="5"/>
        <v>18577.175477430555</v>
      </c>
      <c r="AH62" s="67">
        <f t="shared" si="10"/>
        <v>2.5770000000000001E-2</v>
      </c>
      <c r="AI62" s="151">
        <f t="shared" si="6"/>
        <v>5154</v>
      </c>
      <c r="AJ62">
        <f ca="1">((Main!$C$4-E62)*(200000*(H62/100))/360)*0.02577</f>
        <v>60.255270833333334</v>
      </c>
      <c r="AK62" s="152">
        <f t="shared" ca="1" si="7"/>
        <v>5214.2552708333333</v>
      </c>
      <c r="AL62" s="153">
        <f t="shared" ca="1" si="8"/>
        <v>19149.352482135415</v>
      </c>
    </row>
    <row r="63" spans="1:38" ht="12.75" customHeight="1" x14ac:dyDescent="0.35">
      <c r="A63" s="46" t="s">
        <v>708</v>
      </c>
      <c r="B63" s="38" t="s">
        <v>172</v>
      </c>
      <c r="C63" s="46" t="s">
        <v>708</v>
      </c>
      <c r="D63" s="22" t="s">
        <v>173</v>
      </c>
      <c r="E63" s="75">
        <f t="shared" si="0"/>
        <v>45946</v>
      </c>
      <c r="F63" s="75" t="s">
        <v>599</v>
      </c>
      <c r="G63" s="74">
        <f t="shared" si="1"/>
        <v>46311</v>
      </c>
      <c r="H63" s="19">
        <v>5.25</v>
      </c>
      <c r="I63" s="71" t="s">
        <v>19</v>
      </c>
      <c r="J63" s="2" t="s">
        <v>11</v>
      </c>
      <c r="K63" s="2" t="s">
        <v>751</v>
      </c>
      <c r="L63" s="2" t="s">
        <v>12</v>
      </c>
      <c r="M63" s="3">
        <v>1</v>
      </c>
      <c r="N63" s="3"/>
      <c r="O63" s="3">
        <v>0</v>
      </c>
      <c r="P63" s="69">
        <v>0</v>
      </c>
      <c r="Q63" s="85"/>
      <c r="R63" s="67">
        <v>1</v>
      </c>
      <c r="S63" s="67"/>
      <c r="T63" s="40"/>
      <c r="U63" s="87" t="s">
        <v>937</v>
      </c>
      <c r="V63" s="141" t="s">
        <v>936</v>
      </c>
      <c r="W63" s="46" t="s">
        <v>708</v>
      </c>
      <c r="Z63" t="b">
        <f t="shared" si="2"/>
        <v>1</v>
      </c>
      <c r="AA63" s="46" t="s">
        <v>708</v>
      </c>
      <c r="AB63" s="67">
        <f t="shared" si="9"/>
        <v>2.5000000000000001E-2</v>
      </c>
      <c r="AC63" s="151">
        <f t="shared" si="3"/>
        <v>5000</v>
      </c>
      <c r="AD63" s="152">
        <f ca="1">((Main!$C$4-E63)*(200000*(H63/100))/360)*0.025</f>
        <v>91.145833333333343</v>
      </c>
      <c r="AE63" s="152">
        <f t="shared" ca="1" si="4"/>
        <v>5091.145833333333</v>
      </c>
      <c r="AF63" s="153">
        <f t="shared" ca="1" si="5"/>
        <v>18697.233072916664</v>
      </c>
      <c r="AH63" s="67">
        <f t="shared" si="10"/>
        <v>2.5770000000000001E-2</v>
      </c>
      <c r="AI63" s="151">
        <f t="shared" si="6"/>
        <v>5154</v>
      </c>
      <c r="AJ63">
        <f ca="1">((Main!$C$4-E63)*(200000*(H63/100))/360)*0.02577</f>
        <v>93.953125000000014</v>
      </c>
      <c r="AK63" s="152">
        <f t="shared" ca="1" si="7"/>
        <v>5247.953125</v>
      </c>
      <c r="AL63" s="153">
        <f t="shared" ca="1" si="8"/>
        <v>19273.107851562498</v>
      </c>
    </row>
    <row r="64" spans="1:38" ht="12.75" customHeight="1" x14ac:dyDescent="0.35">
      <c r="A64" s="46" t="s">
        <v>709</v>
      </c>
      <c r="B64" s="38" t="s">
        <v>174</v>
      </c>
      <c r="C64" s="46" t="s">
        <v>709</v>
      </c>
      <c r="D64" s="22" t="s">
        <v>175</v>
      </c>
      <c r="E64" s="75">
        <f t="shared" si="0"/>
        <v>45991</v>
      </c>
      <c r="F64" s="75" t="s">
        <v>604</v>
      </c>
      <c r="G64" s="74">
        <f t="shared" si="1"/>
        <v>46356</v>
      </c>
      <c r="H64" s="19">
        <v>5.4930000000000003</v>
      </c>
      <c r="I64" s="71" t="s">
        <v>19</v>
      </c>
      <c r="J64" s="158" t="s">
        <v>6</v>
      </c>
      <c r="K64" s="162" t="s">
        <v>732</v>
      </c>
      <c r="L64" s="158" t="s">
        <v>64</v>
      </c>
      <c r="M64" s="3">
        <v>1</v>
      </c>
      <c r="N64" s="3"/>
      <c r="O64" s="3">
        <v>0</v>
      </c>
      <c r="P64" s="69">
        <f>M64</f>
        <v>1</v>
      </c>
      <c r="Q64" s="85"/>
      <c r="R64" s="67">
        <v>0.66669999999999996</v>
      </c>
      <c r="S64" s="67"/>
      <c r="T64" s="40"/>
      <c r="U64" s="161" t="s">
        <v>949</v>
      </c>
      <c r="V64" s="174" t="s">
        <v>962</v>
      </c>
      <c r="W64" s="46" t="s">
        <v>709</v>
      </c>
      <c r="Z64" t="b">
        <f t="shared" si="2"/>
        <v>1</v>
      </c>
      <c r="AA64" s="46" t="s">
        <v>709</v>
      </c>
      <c r="AB64" s="67">
        <f t="shared" si="9"/>
        <v>1.6667499999999998E-2</v>
      </c>
      <c r="AC64" s="151">
        <f t="shared" si="3"/>
        <v>3333.4999999999995</v>
      </c>
      <c r="AD64" s="152">
        <f ca="1">((Main!$C$4-E64)*(200000*(H64/100))/360)*0.025</f>
        <v>61.033333333333339</v>
      </c>
      <c r="AE64" s="152">
        <f t="shared" ca="1" si="4"/>
        <v>3394.5333333333328</v>
      </c>
      <c r="AF64" s="153">
        <f t="shared" ca="1" si="5"/>
        <v>12466.423666666664</v>
      </c>
      <c r="AH64" s="67">
        <f t="shared" si="10"/>
        <v>1.7180859E-2</v>
      </c>
      <c r="AI64" s="151">
        <f t="shared" si="6"/>
        <v>3436.1718000000001</v>
      </c>
      <c r="AJ64">
        <f ca="1">((Main!$C$4-E64)*(200000*(H64/100))/360)*0.02577</f>
        <v>62.913160000000005</v>
      </c>
      <c r="AK64" s="152">
        <f t="shared" ca="1" si="7"/>
        <v>3499.0849600000001</v>
      </c>
      <c r="AL64" s="153">
        <f t="shared" ca="1" si="8"/>
        <v>12850.3895156</v>
      </c>
    </row>
    <row r="65" spans="1:38" ht="12.75" customHeight="1" x14ac:dyDescent="0.35">
      <c r="A65" s="46" t="s">
        <v>763</v>
      </c>
      <c r="B65" s="38" t="s">
        <v>196</v>
      </c>
      <c r="C65" s="46" t="s">
        <v>763</v>
      </c>
      <c r="D65" s="22" t="s">
        <v>197</v>
      </c>
      <c r="E65" s="75">
        <f t="shared" si="0"/>
        <v>45939</v>
      </c>
      <c r="F65" s="75" t="s">
        <v>570</v>
      </c>
      <c r="G65" s="74">
        <f t="shared" si="1"/>
        <v>46304</v>
      </c>
      <c r="H65" s="19">
        <v>4.5599999999999996</v>
      </c>
      <c r="I65" s="71" t="s">
        <v>19</v>
      </c>
      <c r="J65" s="2" t="s">
        <v>54</v>
      </c>
      <c r="K65" s="2" t="s">
        <v>759</v>
      </c>
      <c r="L65" s="2" t="s">
        <v>64</v>
      </c>
      <c r="M65" s="3">
        <v>0.55000000000000004</v>
      </c>
      <c r="N65" s="3"/>
      <c r="O65" s="3">
        <v>0.45</v>
      </c>
      <c r="P65" s="3">
        <f>M65</f>
        <v>0.55000000000000004</v>
      </c>
      <c r="Q65" s="84"/>
      <c r="R65" s="67">
        <v>0.45</v>
      </c>
      <c r="S65" s="67"/>
      <c r="T65" s="40" t="s">
        <v>548</v>
      </c>
      <c r="U65" s="87" t="s">
        <v>946</v>
      </c>
      <c r="V65" s="137" t="s">
        <v>947</v>
      </c>
      <c r="W65" s="46" t="s">
        <v>763</v>
      </c>
      <c r="Z65" t="b">
        <f t="shared" si="2"/>
        <v>1</v>
      </c>
      <c r="AA65" s="46" t="s">
        <v>763</v>
      </c>
      <c r="AB65" s="67">
        <f t="shared" si="9"/>
        <v>1.1250000000000001E-2</v>
      </c>
      <c r="AC65" s="151">
        <f t="shared" si="3"/>
        <v>2250.0000000000005</v>
      </c>
      <c r="AD65" s="152">
        <f ca="1">((Main!$C$4-E65)*(200000*(H65/100))/360)*0.025</f>
        <v>83.6</v>
      </c>
      <c r="AE65" s="152">
        <f t="shared" ca="1" si="4"/>
        <v>2333.6000000000004</v>
      </c>
      <c r="AF65" s="153">
        <f t="shared" ca="1" si="5"/>
        <v>8570.1460000000006</v>
      </c>
      <c r="AH65" s="67">
        <f t="shared" si="10"/>
        <v>1.1596500000000001E-2</v>
      </c>
      <c r="AI65" s="151">
        <f t="shared" si="6"/>
        <v>2319.3000000000002</v>
      </c>
      <c r="AJ65">
        <f ca="1">((Main!$C$4-E65)*(200000*(H65/100))/360)*0.02577</f>
        <v>86.174879999999987</v>
      </c>
      <c r="AK65" s="152">
        <f t="shared" ca="1" si="7"/>
        <v>2405.4748800000002</v>
      </c>
      <c r="AL65" s="153">
        <f t="shared" ca="1" si="8"/>
        <v>8834.106496800001</v>
      </c>
    </row>
    <row r="66" spans="1:38" ht="12.75" customHeight="1" x14ac:dyDescent="0.35">
      <c r="A66" s="46" t="s">
        <v>764</v>
      </c>
      <c r="B66" s="38" t="s">
        <v>194</v>
      </c>
      <c r="C66" s="46" t="s">
        <v>764</v>
      </c>
      <c r="D66" s="22" t="s">
        <v>195</v>
      </c>
      <c r="E66" s="75">
        <f t="shared" ref="E66:E129" si="16">EDATE(F66,-6)</f>
        <v>46036</v>
      </c>
      <c r="F66" s="75" t="s">
        <v>605</v>
      </c>
      <c r="G66" s="74">
        <f t="shared" ref="G66:G129" si="17">EDATE(F66,6)</f>
        <v>46401</v>
      </c>
      <c r="H66" s="19">
        <v>3.95</v>
      </c>
      <c r="I66" s="71" t="s">
        <v>19</v>
      </c>
      <c r="J66" s="2" t="s">
        <v>11</v>
      </c>
      <c r="K66" s="2" t="s">
        <v>751</v>
      </c>
      <c r="L66" s="2" t="s">
        <v>12</v>
      </c>
      <c r="M66" s="3">
        <v>1</v>
      </c>
      <c r="N66" s="3"/>
      <c r="O66" s="3">
        <v>0</v>
      </c>
      <c r="P66" s="69">
        <v>0</v>
      </c>
      <c r="Q66" s="85"/>
      <c r="R66" s="67">
        <v>1</v>
      </c>
      <c r="S66" s="67"/>
      <c r="T66" s="40"/>
      <c r="U66" s="87" t="s">
        <v>937</v>
      </c>
      <c r="V66" s="141" t="s">
        <v>936</v>
      </c>
      <c r="W66" s="46" t="s">
        <v>764</v>
      </c>
      <c r="Z66" t="b">
        <f t="shared" ref="Z66:Z129" si="18">AA66=A66</f>
        <v>1</v>
      </c>
      <c r="AA66" s="46" t="s">
        <v>764</v>
      </c>
      <c r="AB66" s="67">
        <f t="shared" si="9"/>
        <v>2.5000000000000001E-2</v>
      </c>
      <c r="AC66" s="151">
        <f t="shared" si="3"/>
        <v>5000</v>
      </c>
      <c r="AD66" s="152">
        <f ca="1">((Main!$C$4-E66)*(200000*(H66/100))/360)*0.025</f>
        <v>19.201388888888889</v>
      </c>
      <c r="AE66" s="152">
        <f t="shared" ca="1" si="4"/>
        <v>5019.2013888888887</v>
      </c>
      <c r="AF66" s="153">
        <f t="shared" ca="1" si="5"/>
        <v>18433.017100694444</v>
      </c>
      <c r="AH66" s="67">
        <f t="shared" si="10"/>
        <v>2.5770000000000001E-2</v>
      </c>
      <c r="AI66" s="151">
        <f t="shared" si="6"/>
        <v>5154</v>
      </c>
      <c r="AJ66">
        <f ca="1">((Main!$C$4-E66)*(200000*(H66/100))/360)*0.02577</f>
        <v>19.792791666666666</v>
      </c>
      <c r="AK66" s="152">
        <f t="shared" ca="1" si="7"/>
        <v>5173.7927916666667</v>
      </c>
      <c r="AL66" s="153">
        <f t="shared" ca="1" si="8"/>
        <v>19000.754027395833</v>
      </c>
    </row>
    <row r="67" spans="1:38" ht="12.75" customHeight="1" x14ac:dyDescent="0.35">
      <c r="A67" s="46" t="s">
        <v>198</v>
      </c>
      <c r="B67" s="38" t="s">
        <v>199</v>
      </c>
      <c r="C67" s="46" t="s">
        <v>198</v>
      </c>
      <c r="D67" s="22" t="s">
        <v>200</v>
      </c>
      <c r="E67" s="75">
        <f t="shared" si="16"/>
        <v>45921</v>
      </c>
      <c r="F67" s="75" t="s">
        <v>607</v>
      </c>
      <c r="G67" s="74">
        <f t="shared" si="17"/>
        <v>46286</v>
      </c>
      <c r="H67" s="19">
        <v>5.875</v>
      </c>
      <c r="I67" s="71" t="s">
        <v>19</v>
      </c>
      <c r="J67" s="2" t="s">
        <v>4</v>
      </c>
      <c r="K67" s="2" t="s">
        <v>749</v>
      </c>
      <c r="L67" s="2" t="s">
        <v>201</v>
      </c>
      <c r="M67" s="3">
        <v>0.55000000000000004</v>
      </c>
      <c r="N67" s="3"/>
      <c r="O67" s="3">
        <v>0.45</v>
      </c>
      <c r="P67" s="69">
        <f>M67</f>
        <v>0.55000000000000004</v>
      </c>
      <c r="Q67" s="85">
        <f>1-P67</f>
        <v>0.44999999999999996</v>
      </c>
      <c r="R67" s="67">
        <v>0.45</v>
      </c>
      <c r="S67" s="67"/>
      <c r="T67" s="40" t="s">
        <v>548</v>
      </c>
      <c r="U67" s="87" t="s">
        <v>928</v>
      </c>
      <c r="V67" s="137" t="s">
        <v>929</v>
      </c>
      <c r="W67" s="46" t="s">
        <v>198</v>
      </c>
      <c r="Z67" t="b">
        <f t="shared" si="18"/>
        <v>1</v>
      </c>
      <c r="AA67" s="46" t="s">
        <v>198</v>
      </c>
      <c r="AB67" s="67">
        <f t="shared" si="9"/>
        <v>1.1250000000000001E-2</v>
      </c>
      <c r="AC67" s="151">
        <f t="shared" ref="AC67:AC130" si="19">200000*AB67</f>
        <v>2250.0000000000005</v>
      </c>
      <c r="AD67" s="152">
        <f ca="1">((Main!$C$4-E67)*(200000*(H67/100))/360)*0.025</f>
        <v>122.39583333333333</v>
      </c>
      <c r="AE67" s="152">
        <f t="shared" ref="AE67:AE130" ca="1" si="20">AD67+AC67</f>
        <v>2372.3958333333339</v>
      </c>
      <c r="AF67" s="153">
        <f t="shared" ref="AF67:AF130" ca="1" si="21">AE67*3.6725</f>
        <v>8712.6236979166679</v>
      </c>
      <c r="AH67" s="67">
        <f t="shared" si="10"/>
        <v>1.1596500000000001E-2</v>
      </c>
      <c r="AI67" s="151">
        <f t="shared" ref="AI67:AI130" si="22">200000*AH67</f>
        <v>2319.3000000000002</v>
      </c>
      <c r="AJ67">
        <f ca="1">((Main!$C$4-E67)*(200000*(H67/100))/360)*0.02577</f>
        <v>126.16562499999999</v>
      </c>
      <c r="AK67" s="152">
        <f t="shared" ref="AK67:AK130" ca="1" si="23">AJ67+AI67</f>
        <v>2445.4656250000003</v>
      </c>
      <c r="AL67" s="153">
        <f t="shared" ref="AL67:AL130" ca="1" si="24">AK67*3.6725</f>
        <v>8980.9725078125011</v>
      </c>
    </row>
    <row r="68" spans="1:38" ht="12.75" customHeight="1" x14ac:dyDescent="0.35">
      <c r="A68" s="46" t="s">
        <v>710</v>
      </c>
      <c r="B68" s="38" t="s">
        <v>220</v>
      </c>
      <c r="C68" s="46" t="s">
        <v>710</v>
      </c>
      <c r="D68" s="22" t="s">
        <v>221</v>
      </c>
      <c r="E68" s="75">
        <f t="shared" si="16"/>
        <v>45917</v>
      </c>
      <c r="F68" s="75" t="s">
        <v>608</v>
      </c>
      <c r="G68" s="74">
        <f t="shared" si="17"/>
        <v>46282</v>
      </c>
      <c r="H68" s="19">
        <f>3+7/8</f>
        <v>3.875</v>
      </c>
      <c r="I68" s="71" t="s">
        <v>19</v>
      </c>
      <c r="J68" s="2" t="s">
        <v>4</v>
      </c>
      <c r="K68" s="2" t="s">
        <v>749</v>
      </c>
      <c r="L68" s="20" t="s">
        <v>5</v>
      </c>
      <c r="M68" s="25">
        <v>0.51</v>
      </c>
      <c r="N68" s="25"/>
      <c r="O68" s="25">
        <v>0.49</v>
      </c>
      <c r="P68" s="69">
        <f>M68</f>
        <v>0.51</v>
      </c>
      <c r="Q68" s="85">
        <f>1-P68</f>
        <v>0.49</v>
      </c>
      <c r="R68" s="67">
        <v>0.45</v>
      </c>
      <c r="S68" s="67"/>
      <c r="T68" s="40" t="s">
        <v>548</v>
      </c>
      <c r="U68" s="87" t="s">
        <v>928</v>
      </c>
      <c r="V68" s="137" t="s">
        <v>929</v>
      </c>
      <c r="W68" s="46" t="s">
        <v>710</v>
      </c>
      <c r="Z68" t="b">
        <f t="shared" si="18"/>
        <v>1</v>
      </c>
      <c r="AA68" s="46" t="s">
        <v>710</v>
      </c>
      <c r="AB68" s="67">
        <f t="shared" ref="AB68:AB131" si="25">R68*0.025</f>
        <v>1.1250000000000001E-2</v>
      </c>
      <c r="AC68" s="151">
        <f t="shared" si="19"/>
        <v>2250.0000000000005</v>
      </c>
      <c r="AD68" s="152">
        <f ca="1">((Main!$C$4-E68)*(200000*(H68/100))/360)*0.025</f>
        <v>82.881944444444457</v>
      </c>
      <c r="AE68" s="152">
        <f t="shared" ca="1" si="20"/>
        <v>2332.8819444444448</v>
      </c>
      <c r="AF68" s="153">
        <f t="shared" ca="1" si="21"/>
        <v>8567.5089409722241</v>
      </c>
      <c r="AH68" s="67">
        <f t="shared" ref="AH68:AH131" si="26">R68*0.02577</f>
        <v>1.1596500000000001E-2</v>
      </c>
      <c r="AI68" s="151">
        <f t="shared" si="22"/>
        <v>2319.3000000000002</v>
      </c>
      <c r="AJ68">
        <f ca="1">((Main!$C$4-E68)*(200000*(H68/100))/360)*0.02577</f>
        <v>85.434708333333333</v>
      </c>
      <c r="AK68" s="152">
        <f t="shared" ca="1" si="23"/>
        <v>2404.7347083333334</v>
      </c>
      <c r="AL68" s="153">
        <f t="shared" ca="1" si="24"/>
        <v>8831.3882163541675</v>
      </c>
    </row>
    <row r="69" spans="1:38" ht="12.75" customHeight="1" x14ac:dyDescent="0.35">
      <c r="A69" s="46" t="s">
        <v>711</v>
      </c>
      <c r="B69" s="38" t="s">
        <v>222</v>
      </c>
      <c r="C69" s="46" t="s">
        <v>711</v>
      </c>
      <c r="D69" s="22" t="s">
        <v>223</v>
      </c>
      <c r="E69" s="75">
        <f t="shared" si="16"/>
        <v>46028</v>
      </c>
      <c r="F69" s="75" t="s">
        <v>609</v>
      </c>
      <c r="G69" s="74">
        <f t="shared" si="17"/>
        <v>46393</v>
      </c>
      <c r="H69" s="56">
        <v>3.7</v>
      </c>
      <c r="I69" s="71" t="s">
        <v>19</v>
      </c>
      <c r="J69" s="2" t="s">
        <v>4</v>
      </c>
      <c r="K69" s="2" t="s">
        <v>749</v>
      </c>
      <c r="L69" s="2" t="s">
        <v>5</v>
      </c>
      <c r="M69" s="3">
        <v>0.51</v>
      </c>
      <c r="N69" s="3"/>
      <c r="O69" s="3">
        <v>0.49</v>
      </c>
      <c r="P69" s="69">
        <f>M69</f>
        <v>0.51</v>
      </c>
      <c r="Q69" s="85">
        <f>1-P69</f>
        <v>0.49</v>
      </c>
      <c r="R69" s="67">
        <v>0.45</v>
      </c>
      <c r="S69" s="67"/>
      <c r="T69" s="40" t="s">
        <v>548</v>
      </c>
      <c r="U69" s="87" t="s">
        <v>928</v>
      </c>
      <c r="V69" s="137" t="s">
        <v>929</v>
      </c>
      <c r="W69" s="46" t="s">
        <v>711</v>
      </c>
      <c r="Z69" t="b">
        <f t="shared" si="18"/>
        <v>1</v>
      </c>
      <c r="AA69" s="46" t="s">
        <v>711</v>
      </c>
      <c r="AB69" s="67">
        <f t="shared" si="25"/>
        <v>1.1250000000000001E-2</v>
      </c>
      <c r="AC69" s="151">
        <f t="shared" si="19"/>
        <v>2250.0000000000005</v>
      </c>
      <c r="AD69" s="152">
        <f ca="1">((Main!$C$4-E69)*(200000*(H69/100))/360)*0.025</f>
        <v>22.097222222222229</v>
      </c>
      <c r="AE69" s="152">
        <f t="shared" ca="1" si="20"/>
        <v>2272.0972222222226</v>
      </c>
      <c r="AF69" s="153">
        <f t="shared" ca="1" si="21"/>
        <v>8344.2770486111131</v>
      </c>
      <c r="AH69" s="67">
        <f t="shared" si="26"/>
        <v>1.1596500000000001E-2</v>
      </c>
      <c r="AI69" s="151">
        <f t="shared" si="22"/>
        <v>2319.3000000000002</v>
      </c>
      <c r="AJ69">
        <f ca="1">((Main!$C$4-E69)*(200000*(H69/100))/360)*0.02577</f>
        <v>22.77781666666667</v>
      </c>
      <c r="AK69" s="152">
        <f t="shared" ca="1" si="23"/>
        <v>2342.0778166666669</v>
      </c>
      <c r="AL69" s="153">
        <f t="shared" ca="1" si="24"/>
        <v>8601.280781708334</v>
      </c>
    </row>
    <row r="70" spans="1:38" ht="12.75" customHeight="1" x14ac:dyDescent="0.35">
      <c r="A70" s="46" t="s">
        <v>712</v>
      </c>
      <c r="B70" s="38" t="s">
        <v>224</v>
      </c>
      <c r="C70" s="46" t="s">
        <v>712</v>
      </c>
      <c r="D70" s="22" t="s">
        <v>225</v>
      </c>
      <c r="E70" s="75">
        <f t="shared" si="16"/>
        <v>45915</v>
      </c>
      <c r="F70" s="75" t="s">
        <v>610</v>
      </c>
      <c r="G70" s="74">
        <f t="shared" si="17"/>
        <v>46280</v>
      </c>
      <c r="H70" s="19">
        <v>3.6349999999999998</v>
      </c>
      <c r="I70" s="71" t="s">
        <v>19</v>
      </c>
      <c r="J70" s="2" t="s">
        <v>4</v>
      </c>
      <c r="K70" s="2" t="s">
        <v>749</v>
      </c>
      <c r="L70" s="2" t="s">
        <v>5</v>
      </c>
      <c r="M70" s="3">
        <v>0.51</v>
      </c>
      <c r="N70" s="3"/>
      <c r="O70" s="3">
        <v>0.49</v>
      </c>
      <c r="P70" s="69">
        <f>M70</f>
        <v>0.51</v>
      </c>
      <c r="Q70" s="85">
        <f>1-P70</f>
        <v>0.49</v>
      </c>
      <c r="R70" s="67">
        <v>0.45</v>
      </c>
      <c r="S70" s="67"/>
      <c r="T70" s="40" t="s">
        <v>548</v>
      </c>
      <c r="U70" s="87" t="s">
        <v>928</v>
      </c>
      <c r="V70" s="137" t="s">
        <v>929</v>
      </c>
      <c r="W70" s="46" t="s">
        <v>712</v>
      </c>
      <c r="Z70" t="b">
        <f t="shared" si="18"/>
        <v>1</v>
      </c>
      <c r="AA70" s="46" t="s">
        <v>712</v>
      </c>
      <c r="AB70" s="67">
        <f t="shared" si="25"/>
        <v>1.1250000000000001E-2</v>
      </c>
      <c r="AC70" s="151">
        <f t="shared" si="19"/>
        <v>2250.0000000000005</v>
      </c>
      <c r="AD70" s="152">
        <f ca="1">((Main!$C$4-E70)*(200000*(H70/100))/360)*0.025</f>
        <v>78.75833333333334</v>
      </c>
      <c r="AE70" s="152">
        <f t="shared" ca="1" si="20"/>
        <v>2328.7583333333337</v>
      </c>
      <c r="AF70" s="153">
        <f t="shared" ca="1" si="21"/>
        <v>8552.3649791666685</v>
      </c>
      <c r="AH70" s="67">
        <f t="shared" si="26"/>
        <v>1.1596500000000001E-2</v>
      </c>
      <c r="AI70" s="151">
        <f t="shared" si="22"/>
        <v>2319.3000000000002</v>
      </c>
      <c r="AJ70">
        <f ca="1">((Main!$C$4-E70)*(200000*(H70/100))/360)*0.02577</f>
        <v>81.184090000000012</v>
      </c>
      <c r="AK70" s="152">
        <f t="shared" ca="1" si="23"/>
        <v>2400.4840900000004</v>
      </c>
      <c r="AL70" s="153">
        <f t="shared" ca="1" si="24"/>
        <v>8815.7778205250015</v>
      </c>
    </row>
    <row r="71" spans="1:38" ht="12.75" customHeight="1" x14ac:dyDescent="0.35">
      <c r="A71" s="46" t="s">
        <v>226</v>
      </c>
      <c r="B71" s="38" t="s">
        <v>227</v>
      </c>
      <c r="C71" s="46" t="s">
        <v>226</v>
      </c>
      <c r="D71" s="22" t="s">
        <v>228</v>
      </c>
      <c r="E71" s="75">
        <f t="shared" si="16"/>
        <v>45922</v>
      </c>
      <c r="F71" s="75" t="s">
        <v>582</v>
      </c>
      <c r="G71" s="74">
        <f t="shared" si="17"/>
        <v>46287</v>
      </c>
      <c r="H71" s="19">
        <v>4.5</v>
      </c>
      <c r="I71" s="71" t="s">
        <v>19</v>
      </c>
      <c r="J71" s="2" t="s">
        <v>6</v>
      </c>
      <c r="K71" s="2" t="s">
        <v>738</v>
      </c>
      <c r="L71" s="64" t="s">
        <v>229</v>
      </c>
      <c r="M71" s="3">
        <v>1</v>
      </c>
      <c r="N71" s="3"/>
      <c r="O71" s="3">
        <v>0</v>
      </c>
      <c r="P71" s="69">
        <v>0</v>
      </c>
      <c r="Q71" s="85"/>
      <c r="R71" s="67">
        <v>1</v>
      </c>
      <c r="S71" s="67"/>
      <c r="T71" s="40"/>
      <c r="U71" s="87" t="s">
        <v>939</v>
      </c>
      <c r="V71" s="137" t="s">
        <v>940</v>
      </c>
      <c r="W71" s="46" t="s">
        <v>226</v>
      </c>
      <c r="Z71" t="b">
        <f t="shared" si="18"/>
        <v>1</v>
      </c>
      <c r="AA71" s="46" t="s">
        <v>226</v>
      </c>
      <c r="AB71" s="67">
        <f t="shared" si="25"/>
        <v>2.5000000000000001E-2</v>
      </c>
      <c r="AC71" s="151">
        <f t="shared" si="19"/>
        <v>5000</v>
      </c>
      <c r="AD71" s="152">
        <f ca="1">((Main!$C$4-E71)*(200000*(H71/100))/360)*0.025</f>
        <v>93.125</v>
      </c>
      <c r="AE71" s="152">
        <f t="shared" ca="1" si="20"/>
        <v>5093.125</v>
      </c>
      <c r="AF71" s="153">
        <f t="shared" ca="1" si="21"/>
        <v>18704.501562499998</v>
      </c>
      <c r="AH71" s="67">
        <f t="shared" si="26"/>
        <v>2.5770000000000001E-2</v>
      </c>
      <c r="AI71" s="151">
        <f t="shared" si="22"/>
        <v>5154</v>
      </c>
      <c r="AJ71">
        <f ca="1">((Main!$C$4-E71)*(200000*(H71/100))/360)*0.02577</f>
        <v>95.993250000000003</v>
      </c>
      <c r="AK71" s="152">
        <f t="shared" ca="1" si="23"/>
        <v>5249.9932500000004</v>
      </c>
      <c r="AL71" s="153">
        <f t="shared" ca="1" si="24"/>
        <v>19280.600210625002</v>
      </c>
    </row>
    <row r="72" spans="1:38" ht="12.75" customHeight="1" x14ac:dyDescent="0.35">
      <c r="A72" s="46" t="s">
        <v>765</v>
      </c>
      <c r="B72" s="38" t="s">
        <v>210</v>
      </c>
      <c r="C72" s="46" t="s">
        <v>765</v>
      </c>
      <c r="D72" s="22" t="s">
        <v>211</v>
      </c>
      <c r="E72" s="75">
        <f t="shared" si="16"/>
        <v>45989</v>
      </c>
      <c r="F72" s="75" t="s">
        <v>573</v>
      </c>
      <c r="G72" s="74">
        <f t="shared" si="17"/>
        <v>46354</v>
      </c>
      <c r="H72" s="19">
        <v>5.431</v>
      </c>
      <c r="I72" s="71" t="s">
        <v>19</v>
      </c>
      <c r="J72" s="2" t="s">
        <v>54</v>
      </c>
      <c r="K72" s="2" t="s">
        <v>760</v>
      </c>
      <c r="L72" s="1" t="s">
        <v>45</v>
      </c>
      <c r="M72" s="3">
        <v>0.51</v>
      </c>
      <c r="N72" s="3"/>
      <c r="O72" s="3">
        <v>0.49</v>
      </c>
      <c r="P72" s="3">
        <f t="shared" ref="P72:P98" si="27">M72</f>
        <v>0.51</v>
      </c>
      <c r="Q72" s="84"/>
      <c r="R72" s="67">
        <v>0.49</v>
      </c>
      <c r="S72" s="67"/>
      <c r="T72" s="40" t="s">
        <v>548</v>
      </c>
      <c r="U72" s="87" t="s">
        <v>946</v>
      </c>
      <c r="V72" s="137" t="s">
        <v>947</v>
      </c>
      <c r="W72" s="46" t="s">
        <v>765</v>
      </c>
      <c r="Z72" t="b">
        <f t="shared" si="18"/>
        <v>1</v>
      </c>
      <c r="AA72" s="46" t="s">
        <v>765</v>
      </c>
      <c r="AB72" s="67">
        <f t="shared" si="25"/>
        <v>1.225E-2</v>
      </c>
      <c r="AC72" s="151">
        <f t="shared" si="19"/>
        <v>2450</v>
      </c>
      <c r="AD72" s="152">
        <f ca="1">((Main!$C$4-E72)*(200000*(H72/100))/360)*0.025</f>
        <v>61.853055555555557</v>
      </c>
      <c r="AE72" s="152">
        <f t="shared" ca="1" si="20"/>
        <v>2511.8530555555553</v>
      </c>
      <c r="AF72" s="153">
        <f t="shared" ca="1" si="21"/>
        <v>9224.7803465277775</v>
      </c>
      <c r="AH72" s="67">
        <f t="shared" si="26"/>
        <v>1.2627300000000001E-2</v>
      </c>
      <c r="AI72" s="151">
        <f t="shared" si="22"/>
        <v>2525.46</v>
      </c>
      <c r="AJ72">
        <f ca="1">((Main!$C$4-E72)*(200000*(H72/100))/360)*0.02577</f>
        <v>63.758129666666669</v>
      </c>
      <c r="AK72" s="152">
        <f t="shared" ca="1" si="23"/>
        <v>2589.2181296666668</v>
      </c>
      <c r="AL72" s="153">
        <f t="shared" ca="1" si="24"/>
        <v>9508.9035812008333</v>
      </c>
    </row>
    <row r="73" spans="1:38" ht="12.75" customHeight="1" x14ac:dyDescent="0.35">
      <c r="A73" s="46" t="s">
        <v>766</v>
      </c>
      <c r="B73" s="38" t="s">
        <v>212</v>
      </c>
      <c r="C73" s="46" t="s">
        <v>766</v>
      </c>
      <c r="D73" s="22" t="s">
        <v>213</v>
      </c>
      <c r="E73" s="75">
        <f t="shared" si="16"/>
        <v>45963</v>
      </c>
      <c r="F73" s="75" t="s">
        <v>618</v>
      </c>
      <c r="G73" s="74">
        <f t="shared" si="17"/>
        <v>46328</v>
      </c>
      <c r="H73" s="19">
        <v>2.0819999999999999</v>
      </c>
      <c r="I73" s="71" t="s">
        <v>19</v>
      </c>
      <c r="J73" s="2" t="s">
        <v>54</v>
      </c>
      <c r="K73" s="2" t="s">
        <v>760</v>
      </c>
      <c r="L73" s="1" t="s">
        <v>45</v>
      </c>
      <c r="M73" s="3">
        <v>0.51</v>
      </c>
      <c r="N73" s="3"/>
      <c r="O73" s="3">
        <v>0.49</v>
      </c>
      <c r="P73" s="3">
        <f t="shared" si="27"/>
        <v>0.51</v>
      </c>
      <c r="Q73" s="84"/>
      <c r="R73" s="67">
        <v>0.49</v>
      </c>
      <c r="S73" s="67"/>
      <c r="T73" s="40" t="s">
        <v>548</v>
      </c>
      <c r="U73" s="87" t="s">
        <v>946</v>
      </c>
      <c r="V73" s="137" t="s">
        <v>947</v>
      </c>
      <c r="W73" s="46" t="s">
        <v>766</v>
      </c>
      <c r="Z73" t="b">
        <f t="shared" si="18"/>
        <v>1</v>
      </c>
      <c r="AA73" s="46" t="s">
        <v>766</v>
      </c>
      <c r="AB73" s="67">
        <f t="shared" si="25"/>
        <v>1.225E-2</v>
      </c>
      <c r="AC73" s="151">
        <f t="shared" si="19"/>
        <v>2450</v>
      </c>
      <c r="AD73" s="152">
        <f ca="1">((Main!$C$4-E73)*(200000*(H73/100))/360)*0.025</f>
        <v>31.230000000000004</v>
      </c>
      <c r="AE73" s="152">
        <f t="shared" ca="1" si="20"/>
        <v>2481.23</v>
      </c>
      <c r="AF73" s="153">
        <f t="shared" ca="1" si="21"/>
        <v>9112.3171750000001</v>
      </c>
      <c r="AH73" s="67">
        <f t="shared" si="26"/>
        <v>1.2627300000000001E-2</v>
      </c>
      <c r="AI73" s="151">
        <f t="shared" si="22"/>
        <v>2525.46</v>
      </c>
      <c r="AJ73">
        <f ca="1">((Main!$C$4-E73)*(200000*(H73/100))/360)*0.02577</f>
        <v>32.191884000000002</v>
      </c>
      <c r="AK73" s="152">
        <f t="shared" ca="1" si="23"/>
        <v>2557.6518839999999</v>
      </c>
      <c r="AL73" s="153">
        <f t="shared" ca="1" si="24"/>
        <v>9392.9765439899984</v>
      </c>
    </row>
    <row r="74" spans="1:38" ht="12.75" customHeight="1" x14ac:dyDescent="0.35">
      <c r="A74" s="46" t="s">
        <v>767</v>
      </c>
      <c r="B74" s="38" t="s">
        <v>214</v>
      </c>
      <c r="C74" s="46" t="s">
        <v>767</v>
      </c>
      <c r="D74" s="22" t="s">
        <v>215</v>
      </c>
      <c r="E74" s="75">
        <f t="shared" si="16"/>
        <v>45923</v>
      </c>
      <c r="F74" s="75" t="s">
        <v>629</v>
      </c>
      <c r="G74" s="74">
        <f t="shared" si="17"/>
        <v>46288</v>
      </c>
      <c r="H74" s="19">
        <v>4.54</v>
      </c>
      <c r="I74" s="71" t="s">
        <v>19</v>
      </c>
      <c r="J74" s="2" t="s">
        <v>54</v>
      </c>
      <c r="K74" s="2" t="s">
        <v>760</v>
      </c>
      <c r="L74" s="1" t="s">
        <v>45</v>
      </c>
      <c r="M74" s="3">
        <v>0.51</v>
      </c>
      <c r="N74" s="3"/>
      <c r="O74" s="3">
        <v>0.49</v>
      </c>
      <c r="P74" s="3">
        <f t="shared" si="27"/>
        <v>0.51</v>
      </c>
      <c r="Q74" s="84"/>
      <c r="R74" s="67">
        <v>0.49</v>
      </c>
      <c r="S74" s="67"/>
      <c r="T74" s="40" t="s">
        <v>548</v>
      </c>
      <c r="U74" s="87" t="s">
        <v>946</v>
      </c>
      <c r="V74" s="137" t="s">
        <v>947</v>
      </c>
      <c r="W74" s="46" t="s">
        <v>767</v>
      </c>
      <c r="Z74" t="b">
        <f t="shared" si="18"/>
        <v>1</v>
      </c>
      <c r="AA74" s="46" t="s">
        <v>767</v>
      </c>
      <c r="AB74" s="67">
        <f t="shared" si="25"/>
        <v>1.225E-2</v>
      </c>
      <c r="AC74" s="151">
        <f t="shared" si="19"/>
        <v>2450</v>
      </c>
      <c r="AD74" s="152">
        <f ca="1">((Main!$C$4-E74)*(200000*(H74/100))/360)*0.025</f>
        <v>93.322222222222223</v>
      </c>
      <c r="AE74" s="152">
        <f t="shared" ca="1" si="20"/>
        <v>2543.3222222222221</v>
      </c>
      <c r="AF74" s="153">
        <f t="shared" ca="1" si="21"/>
        <v>9340.3508611111101</v>
      </c>
      <c r="AH74" s="67">
        <f t="shared" si="26"/>
        <v>1.2627300000000001E-2</v>
      </c>
      <c r="AI74" s="151">
        <f t="shared" si="22"/>
        <v>2525.46</v>
      </c>
      <c r="AJ74">
        <f ca="1">((Main!$C$4-E74)*(200000*(H74/100))/360)*0.02577</f>
        <v>96.196546666666663</v>
      </c>
      <c r="AK74" s="152">
        <f t="shared" ca="1" si="23"/>
        <v>2621.6565466666666</v>
      </c>
      <c r="AL74" s="153">
        <f t="shared" ca="1" si="24"/>
        <v>9628.0336676333336</v>
      </c>
    </row>
    <row r="75" spans="1:38" ht="12.75" customHeight="1" x14ac:dyDescent="0.35">
      <c r="A75" s="46" t="s">
        <v>768</v>
      </c>
      <c r="B75" s="38" t="s">
        <v>216</v>
      </c>
      <c r="C75" s="46" t="s">
        <v>768</v>
      </c>
      <c r="D75" s="22" t="s">
        <v>217</v>
      </c>
      <c r="E75" s="75">
        <f t="shared" si="16"/>
        <v>45925</v>
      </c>
      <c r="F75" s="75" t="s">
        <v>631</v>
      </c>
      <c r="G75" s="74">
        <f t="shared" si="17"/>
        <v>46290</v>
      </c>
      <c r="H75" s="19">
        <v>5.0590000000000002</v>
      </c>
      <c r="I75" s="71" t="s">
        <v>19</v>
      </c>
      <c r="J75" s="2" t="s">
        <v>54</v>
      </c>
      <c r="K75" s="2" t="s">
        <v>760</v>
      </c>
      <c r="L75" s="1" t="s">
        <v>45</v>
      </c>
      <c r="M75" s="3">
        <v>0.51</v>
      </c>
      <c r="N75" s="3"/>
      <c r="O75" s="3">
        <v>0.49</v>
      </c>
      <c r="P75" s="3">
        <f t="shared" si="27"/>
        <v>0.51</v>
      </c>
      <c r="Q75" s="84"/>
      <c r="R75" s="67">
        <v>0.49</v>
      </c>
      <c r="S75" s="67"/>
      <c r="T75" s="40" t="s">
        <v>548</v>
      </c>
      <c r="U75" s="87" t="s">
        <v>946</v>
      </c>
      <c r="V75" s="137" t="s">
        <v>947</v>
      </c>
      <c r="W75" s="46" t="s">
        <v>768</v>
      </c>
      <c r="Z75" t="b">
        <f t="shared" si="18"/>
        <v>1</v>
      </c>
      <c r="AA75" s="46" t="s">
        <v>768</v>
      </c>
      <c r="AB75" s="67">
        <f t="shared" si="25"/>
        <v>1.225E-2</v>
      </c>
      <c r="AC75" s="151">
        <f t="shared" si="19"/>
        <v>2450</v>
      </c>
      <c r="AD75" s="152">
        <f ca="1">((Main!$C$4-E75)*(200000*(H75/100))/360)*0.025</f>
        <v>102.58527777777779</v>
      </c>
      <c r="AE75" s="152">
        <f t="shared" ca="1" si="20"/>
        <v>2552.5852777777777</v>
      </c>
      <c r="AF75" s="153">
        <f t="shared" ca="1" si="21"/>
        <v>9374.3694326388886</v>
      </c>
      <c r="AH75" s="67">
        <f t="shared" si="26"/>
        <v>1.2627300000000001E-2</v>
      </c>
      <c r="AI75" s="151">
        <f t="shared" si="22"/>
        <v>2525.46</v>
      </c>
      <c r="AJ75">
        <f ca="1">((Main!$C$4-E75)*(200000*(H75/100))/360)*0.02577</f>
        <v>105.74490433333335</v>
      </c>
      <c r="AK75" s="152">
        <f t="shared" ca="1" si="23"/>
        <v>2631.2049043333336</v>
      </c>
      <c r="AL75" s="153">
        <f t="shared" ca="1" si="24"/>
        <v>9663.1000111641679</v>
      </c>
    </row>
    <row r="76" spans="1:38" ht="12.75" customHeight="1" x14ac:dyDescent="0.35">
      <c r="A76" s="46" t="s">
        <v>769</v>
      </c>
      <c r="B76" s="38" t="s">
        <v>218</v>
      </c>
      <c r="C76" s="46" t="s">
        <v>769</v>
      </c>
      <c r="D76" s="22" t="s">
        <v>219</v>
      </c>
      <c r="E76" s="75">
        <f t="shared" si="16"/>
        <v>45884</v>
      </c>
      <c r="F76" s="75" t="s">
        <v>632</v>
      </c>
      <c r="G76" s="74">
        <f t="shared" si="17"/>
        <v>46249</v>
      </c>
      <c r="H76" s="19">
        <v>5.05</v>
      </c>
      <c r="I76" s="71" t="s">
        <v>19</v>
      </c>
      <c r="J76" s="2" t="s">
        <v>54</v>
      </c>
      <c r="K76" s="2" t="s">
        <v>760</v>
      </c>
      <c r="L76" s="1" t="s">
        <v>45</v>
      </c>
      <c r="M76" s="3">
        <v>0.51</v>
      </c>
      <c r="N76" s="3"/>
      <c r="O76" s="3">
        <v>0.49</v>
      </c>
      <c r="P76" s="3">
        <f t="shared" si="27"/>
        <v>0.51</v>
      </c>
      <c r="Q76" s="84"/>
      <c r="R76" s="67">
        <v>0.49</v>
      </c>
      <c r="S76" s="67"/>
      <c r="T76" s="40" t="s">
        <v>548</v>
      </c>
      <c r="U76" s="87" t="s">
        <v>946</v>
      </c>
      <c r="V76" s="137" t="s">
        <v>947</v>
      </c>
      <c r="W76" s="46" t="s">
        <v>769</v>
      </c>
      <c r="Z76" t="b">
        <f t="shared" si="18"/>
        <v>1</v>
      </c>
      <c r="AA76" s="46" t="s">
        <v>769</v>
      </c>
      <c r="AB76" s="67">
        <f t="shared" si="25"/>
        <v>1.225E-2</v>
      </c>
      <c r="AC76" s="151">
        <f t="shared" si="19"/>
        <v>2450</v>
      </c>
      <c r="AD76" s="152">
        <f ca="1">((Main!$C$4-E76)*(200000*(H76/100))/360)*0.025</f>
        <v>131.15972222222223</v>
      </c>
      <c r="AE76" s="152">
        <f t="shared" ca="1" si="20"/>
        <v>2581.1597222222222</v>
      </c>
      <c r="AF76" s="153">
        <f t="shared" ca="1" si="21"/>
        <v>9479.3090798611101</v>
      </c>
      <c r="AH76" s="67">
        <f t="shared" si="26"/>
        <v>1.2627300000000001E-2</v>
      </c>
      <c r="AI76" s="151">
        <f t="shared" si="22"/>
        <v>2525.46</v>
      </c>
      <c r="AJ76">
        <f ca="1">((Main!$C$4-E76)*(200000*(H76/100))/360)*0.02577</f>
        <v>135.19944166666667</v>
      </c>
      <c r="AK76" s="152">
        <f t="shared" ca="1" si="23"/>
        <v>2660.6594416666667</v>
      </c>
      <c r="AL76" s="153">
        <f t="shared" ca="1" si="24"/>
        <v>9771.2717995208332</v>
      </c>
    </row>
    <row r="77" spans="1:38" ht="12.75" customHeight="1" x14ac:dyDescent="0.35">
      <c r="A77" s="46" t="s">
        <v>234</v>
      </c>
      <c r="B77" s="38" t="s">
        <v>235</v>
      </c>
      <c r="C77" s="46" t="s">
        <v>234</v>
      </c>
      <c r="D77" s="22" t="s">
        <v>236</v>
      </c>
      <c r="E77" s="75">
        <f t="shared" si="16"/>
        <v>45883</v>
      </c>
      <c r="F77" s="75" t="s">
        <v>617</v>
      </c>
      <c r="G77" s="74">
        <f t="shared" si="17"/>
        <v>46248</v>
      </c>
      <c r="H77" s="19">
        <v>5.8310000000000004</v>
      </c>
      <c r="I77" s="71" t="s">
        <v>19</v>
      </c>
      <c r="J77" s="27" t="s">
        <v>54</v>
      </c>
      <c r="K77" s="2" t="s">
        <v>760</v>
      </c>
      <c r="L77" s="27" t="s">
        <v>55</v>
      </c>
      <c r="M77" s="3">
        <v>0.51</v>
      </c>
      <c r="N77" s="3"/>
      <c r="O77" s="3">
        <v>0.49</v>
      </c>
      <c r="P77" s="3">
        <f t="shared" si="27"/>
        <v>0.51</v>
      </c>
      <c r="Q77" s="84"/>
      <c r="R77" s="67">
        <v>0.49</v>
      </c>
      <c r="S77" s="67"/>
      <c r="T77" s="40" t="s">
        <v>548</v>
      </c>
      <c r="U77" s="87" t="s">
        <v>946</v>
      </c>
      <c r="V77" s="137" t="s">
        <v>947</v>
      </c>
      <c r="W77" s="46" t="s">
        <v>234</v>
      </c>
      <c r="Z77" t="b">
        <f t="shared" si="18"/>
        <v>1</v>
      </c>
      <c r="AA77" s="46" t="s">
        <v>234</v>
      </c>
      <c r="AB77" s="67">
        <f t="shared" si="25"/>
        <v>1.225E-2</v>
      </c>
      <c r="AC77" s="151">
        <f t="shared" si="19"/>
        <v>2450</v>
      </c>
      <c r="AD77" s="152">
        <f ca="1">((Main!$C$4-E77)*(200000*(H77/100))/360)*0.025</f>
        <v>152.25388888888889</v>
      </c>
      <c r="AE77" s="152">
        <f t="shared" ca="1" si="20"/>
        <v>2602.2538888888889</v>
      </c>
      <c r="AF77" s="153">
        <f t="shared" ca="1" si="21"/>
        <v>9556.777406944444</v>
      </c>
      <c r="AH77" s="67">
        <f t="shared" si="26"/>
        <v>1.2627300000000001E-2</v>
      </c>
      <c r="AI77" s="151">
        <f t="shared" si="22"/>
        <v>2525.46</v>
      </c>
      <c r="AJ77">
        <f ca="1">((Main!$C$4-E77)*(200000*(H77/100))/360)*0.02577</f>
        <v>156.94330866666667</v>
      </c>
      <c r="AK77" s="152">
        <f t="shared" ca="1" si="23"/>
        <v>2682.4033086666668</v>
      </c>
      <c r="AL77" s="153">
        <f t="shared" ca="1" si="24"/>
        <v>9851.1261510783334</v>
      </c>
    </row>
    <row r="78" spans="1:38" ht="12.75" customHeight="1" x14ac:dyDescent="0.35">
      <c r="A78" s="46" t="s">
        <v>230</v>
      </c>
      <c r="B78" s="38" t="s">
        <v>231</v>
      </c>
      <c r="C78" s="46" t="s">
        <v>230</v>
      </c>
      <c r="D78" s="22" t="s">
        <v>232</v>
      </c>
      <c r="E78" s="75">
        <f t="shared" si="16"/>
        <v>45905</v>
      </c>
      <c r="F78" s="75" t="s">
        <v>616</v>
      </c>
      <c r="G78" s="74">
        <f t="shared" si="17"/>
        <v>46270</v>
      </c>
      <c r="H78" s="19">
        <v>5</v>
      </c>
      <c r="I78" s="71" t="s">
        <v>19</v>
      </c>
      <c r="J78" s="27" t="s">
        <v>4</v>
      </c>
      <c r="K78" s="2" t="s">
        <v>749</v>
      </c>
      <c r="L78" s="27" t="s">
        <v>233</v>
      </c>
      <c r="M78" s="3">
        <v>0.55000000000000004</v>
      </c>
      <c r="N78" s="3"/>
      <c r="O78" s="3">
        <v>0.45</v>
      </c>
      <c r="P78" s="69">
        <f t="shared" si="27"/>
        <v>0.55000000000000004</v>
      </c>
      <c r="Q78" s="85">
        <f>1-P78</f>
        <v>0.44999999999999996</v>
      </c>
      <c r="R78" s="67">
        <v>0.45</v>
      </c>
      <c r="S78" s="67"/>
      <c r="T78" s="40" t="s">
        <v>548</v>
      </c>
      <c r="U78" s="87" t="s">
        <v>928</v>
      </c>
      <c r="V78" s="137" t="s">
        <v>929</v>
      </c>
      <c r="W78" s="46" t="s">
        <v>230</v>
      </c>
      <c r="Z78" t="b">
        <f t="shared" si="18"/>
        <v>1</v>
      </c>
      <c r="AA78" s="46" t="s">
        <v>230</v>
      </c>
      <c r="AB78" s="67">
        <f t="shared" si="25"/>
        <v>1.1250000000000001E-2</v>
      </c>
      <c r="AC78" s="151">
        <f t="shared" si="19"/>
        <v>2250.0000000000005</v>
      </c>
      <c r="AD78" s="152">
        <f ca="1">((Main!$C$4-E78)*(200000*(H78/100))/360)*0.025</f>
        <v>115.27777777777779</v>
      </c>
      <c r="AE78" s="152">
        <f t="shared" ca="1" si="20"/>
        <v>2365.2777777777783</v>
      </c>
      <c r="AF78" s="153">
        <f t="shared" ca="1" si="21"/>
        <v>8686.4826388888905</v>
      </c>
      <c r="AH78" s="67">
        <f t="shared" si="26"/>
        <v>1.1596500000000001E-2</v>
      </c>
      <c r="AI78" s="151">
        <f t="shared" si="22"/>
        <v>2319.3000000000002</v>
      </c>
      <c r="AJ78">
        <f ca="1">((Main!$C$4-E78)*(200000*(H78/100))/360)*0.02577</f>
        <v>118.82833333333335</v>
      </c>
      <c r="AK78" s="152">
        <f t="shared" ca="1" si="23"/>
        <v>2438.1283333333336</v>
      </c>
      <c r="AL78" s="153">
        <f t="shared" ca="1" si="24"/>
        <v>8954.0263041666676</v>
      </c>
    </row>
    <row r="79" spans="1:38" ht="12.75" customHeight="1" x14ac:dyDescent="0.35">
      <c r="A79" s="46" t="s">
        <v>770</v>
      </c>
      <c r="B79" s="38" t="s">
        <v>237</v>
      </c>
      <c r="C79" s="46" t="s">
        <v>770</v>
      </c>
      <c r="D79" s="22" t="s">
        <v>238</v>
      </c>
      <c r="E79" s="75">
        <f t="shared" si="16"/>
        <v>46039</v>
      </c>
      <c r="F79" s="75" t="s">
        <v>613</v>
      </c>
      <c r="G79" s="74">
        <f t="shared" si="17"/>
        <v>46404</v>
      </c>
      <c r="H79" s="19">
        <v>4.5810000000000004</v>
      </c>
      <c r="I79" s="71" t="s">
        <v>19</v>
      </c>
      <c r="J79" s="2" t="s">
        <v>54</v>
      </c>
      <c r="K79" s="2" t="s">
        <v>760</v>
      </c>
      <c r="L79" s="1" t="s">
        <v>45</v>
      </c>
      <c r="M79" s="3">
        <v>0.55000000000000004</v>
      </c>
      <c r="N79" s="3"/>
      <c r="O79" s="3">
        <v>0.45</v>
      </c>
      <c r="P79" s="3">
        <f t="shared" si="27"/>
        <v>0.55000000000000004</v>
      </c>
      <c r="Q79" s="84"/>
      <c r="R79" s="67">
        <v>0.49</v>
      </c>
      <c r="S79" s="67"/>
      <c r="T79" s="40" t="s">
        <v>548</v>
      </c>
      <c r="U79" s="87" t="s">
        <v>946</v>
      </c>
      <c r="V79" s="137" t="s">
        <v>947</v>
      </c>
      <c r="W79" s="46" t="s">
        <v>770</v>
      </c>
      <c r="Z79" t="b">
        <f t="shared" si="18"/>
        <v>1</v>
      </c>
      <c r="AA79" s="46" t="s">
        <v>770</v>
      </c>
      <c r="AB79" s="67">
        <f t="shared" si="25"/>
        <v>1.225E-2</v>
      </c>
      <c r="AC79" s="151">
        <f t="shared" si="19"/>
        <v>2450</v>
      </c>
      <c r="AD79" s="152">
        <f ca="1">((Main!$C$4-E79)*(200000*(H79/100))/360)*0.025</f>
        <v>20.36</v>
      </c>
      <c r="AE79" s="152">
        <f t="shared" ca="1" si="20"/>
        <v>2470.36</v>
      </c>
      <c r="AF79" s="153">
        <f t="shared" ca="1" si="21"/>
        <v>9072.3971000000001</v>
      </c>
      <c r="AH79" s="67">
        <f t="shared" si="26"/>
        <v>1.2627300000000001E-2</v>
      </c>
      <c r="AI79" s="151">
        <f t="shared" si="22"/>
        <v>2525.46</v>
      </c>
      <c r="AJ79">
        <f ca="1">((Main!$C$4-E79)*(200000*(H79/100))/360)*0.02577</f>
        <v>20.987088</v>
      </c>
      <c r="AK79" s="152">
        <f t="shared" ca="1" si="23"/>
        <v>2546.4470879999999</v>
      </c>
      <c r="AL79" s="153">
        <f t="shared" ca="1" si="24"/>
        <v>9351.8269306799994</v>
      </c>
    </row>
    <row r="80" spans="1:38" ht="12.75" customHeight="1" x14ac:dyDescent="0.35">
      <c r="A80" s="46" t="s">
        <v>772</v>
      </c>
      <c r="B80" s="38" t="s">
        <v>239</v>
      </c>
      <c r="C80" s="46" t="s">
        <v>772</v>
      </c>
      <c r="D80" s="22" t="s">
        <v>240</v>
      </c>
      <c r="E80" s="75">
        <f t="shared" si="16"/>
        <v>46045</v>
      </c>
      <c r="F80" s="75" t="s">
        <v>635</v>
      </c>
      <c r="G80" s="74">
        <f t="shared" si="17"/>
        <v>46410</v>
      </c>
      <c r="H80" s="19">
        <v>4.7789999999999999</v>
      </c>
      <c r="I80" s="71" t="s">
        <v>19</v>
      </c>
      <c r="J80" s="2" t="s">
        <v>54</v>
      </c>
      <c r="K80" s="2" t="s">
        <v>760</v>
      </c>
      <c r="L80" s="1" t="s">
        <v>45</v>
      </c>
      <c r="M80" s="3">
        <v>0.55000000000000004</v>
      </c>
      <c r="N80" s="3"/>
      <c r="O80" s="3">
        <v>0.45</v>
      </c>
      <c r="P80" s="3">
        <f t="shared" si="27"/>
        <v>0.55000000000000004</v>
      </c>
      <c r="Q80" s="84"/>
      <c r="R80" s="67">
        <v>0.49</v>
      </c>
      <c r="S80" s="67"/>
      <c r="T80" s="40" t="s">
        <v>548</v>
      </c>
      <c r="U80" s="87" t="s">
        <v>946</v>
      </c>
      <c r="V80" s="137" t="s">
        <v>947</v>
      </c>
      <c r="W80" s="46" t="s">
        <v>772</v>
      </c>
      <c r="Z80" t="b">
        <f t="shared" si="18"/>
        <v>1</v>
      </c>
      <c r="AA80" s="46" t="s">
        <v>772</v>
      </c>
      <c r="AB80" s="67">
        <f t="shared" si="25"/>
        <v>1.225E-2</v>
      </c>
      <c r="AC80" s="151">
        <f t="shared" si="19"/>
        <v>2450</v>
      </c>
      <c r="AD80" s="152">
        <f ca="1">((Main!$C$4-E80)*(200000*(H80/100))/360)*0.025</f>
        <v>17.2575</v>
      </c>
      <c r="AE80" s="152">
        <f t="shared" ca="1" si="20"/>
        <v>2467.2575000000002</v>
      </c>
      <c r="AF80" s="153">
        <f t="shared" ca="1" si="21"/>
        <v>9061.0031687499995</v>
      </c>
      <c r="AH80" s="67">
        <f t="shared" si="26"/>
        <v>1.2627300000000001E-2</v>
      </c>
      <c r="AI80" s="151">
        <f t="shared" si="22"/>
        <v>2525.46</v>
      </c>
      <c r="AJ80">
        <f ca="1">((Main!$C$4-E80)*(200000*(H80/100))/360)*0.02577</f>
        <v>17.789031000000001</v>
      </c>
      <c r="AK80" s="152">
        <f t="shared" ca="1" si="23"/>
        <v>2543.2490309999998</v>
      </c>
      <c r="AL80" s="153">
        <f t="shared" ca="1" si="24"/>
        <v>9340.0820663474988</v>
      </c>
    </row>
    <row r="81" spans="1:39" ht="12.75" customHeight="1" x14ac:dyDescent="0.35">
      <c r="A81" s="46" t="s">
        <v>773</v>
      </c>
      <c r="B81" s="38" t="s">
        <v>241</v>
      </c>
      <c r="C81" s="46" t="s">
        <v>773</v>
      </c>
      <c r="D81" s="22" t="s">
        <v>242</v>
      </c>
      <c r="E81" s="75">
        <f t="shared" si="16"/>
        <v>46038</v>
      </c>
      <c r="F81" s="75" t="s">
        <v>636</v>
      </c>
      <c r="G81" s="74">
        <f t="shared" si="17"/>
        <v>46403</v>
      </c>
      <c r="H81" s="19">
        <v>5.1529999999999996</v>
      </c>
      <c r="I81" s="71" t="s">
        <v>19</v>
      </c>
      <c r="J81" s="2" t="s">
        <v>54</v>
      </c>
      <c r="K81" s="2" t="s">
        <v>760</v>
      </c>
      <c r="L81" s="1" t="s">
        <v>45</v>
      </c>
      <c r="M81" s="3">
        <v>0.55000000000000004</v>
      </c>
      <c r="N81" s="3"/>
      <c r="O81" s="3">
        <v>0.45</v>
      </c>
      <c r="P81" s="3">
        <f t="shared" si="27"/>
        <v>0.55000000000000004</v>
      </c>
      <c r="Q81" s="84"/>
      <c r="R81" s="67">
        <v>0.49</v>
      </c>
      <c r="S81" s="67"/>
      <c r="T81" s="40" t="s">
        <v>548</v>
      </c>
      <c r="U81" s="87" t="s">
        <v>946</v>
      </c>
      <c r="V81" s="137" t="s">
        <v>947</v>
      </c>
      <c r="W81" s="46" t="s">
        <v>773</v>
      </c>
      <c r="Z81" t="b">
        <f t="shared" si="18"/>
        <v>1</v>
      </c>
      <c r="AA81" s="46" t="s">
        <v>773</v>
      </c>
      <c r="AB81" s="67">
        <f t="shared" si="25"/>
        <v>1.225E-2</v>
      </c>
      <c r="AC81" s="151">
        <f t="shared" si="19"/>
        <v>2450</v>
      </c>
      <c r="AD81" s="152">
        <f ca="1">((Main!$C$4-E81)*(200000*(H81/100))/360)*0.025</f>
        <v>23.617916666666662</v>
      </c>
      <c r="AE81" s="152">
        <f t="shared" ca="1" si="20"/>
        <v>2473.6179166666666</v>
      </c>
      <c r="AF81" s="153">
        <f t="shared" ca="1" si="21"/>
        <v>9084.3617989583327</v>
      </c>
      <c r="AH81" s="67">
        <f t="shared" si="26"/>
        <v>1.2627300000000001E-2</v>
      </c>
      <c r="AI81" s="151">
        <f t="shared" si="22"/>
        <v>2525.46</v>
      </c>
      <c r="AJ81">
        <f ca="1">((Main!$C$4-E81)*(200000*(H81/100))/360)*0.02577</f>
        <v>24.345348499999997</v>
      </c>
      <c r="AK81" s="152">
        <f t="shared" ca="1" si="23"/>
        <v>2549.8053485</v>
      </c>
      <c r="AL81" s="153">
        <f t="shared" ca="1" si="24"/>
        <v>9364.1601423662505</v>
      </c>
    </row>
    <row r="82" spans="1:39" s="63" customFormat="1" ht="12.75" customHeight="1" x14ac:dyDescent="0.35">
      <c r="A82" s="46" t="s">
        <v>771</v>
      </c>
      <c r="B82" s="38" t="s">
        <v>243</v>
      </c>
      <c r="C82" s="46" t="s">
        <v>771</v>
      </c>
      <c r="D82" s="22" t="s">
        <v>244</v>
      </c>
      <c r="E82" s="75">
        <f t="shared" si="16"/>
        <v>45967</v>
      </c>
      <c r="F82" s="75" t="s">
        <v>557</v>
      </c>
      <c r="G82" s="74">
        <f t="shared" si="17"/>
        <v>46332</v>
      </c>
      <c r="H82" s="19">
        <v>7.5</v>
      </c>
      <c r="I82" s="71" t="s">
        <v>19</v>
      </c>
      <c r="J82" s="2" t="s">
        <v>4</v>
      </c>
      <c r="K82" s="2" t="s">
        <v>749</v>
      </c>
      <c r="L82" s="2" t="s">
        <v>5</v>
      </c>
      <c r="M82" s="3">
        <v>0.51</v>
      </c>
      <c r="N82" s="3"/>
      <c r="O82" s="3">
        <v>0.49</v>
      </c>
      <c r="P82" s="69">
        <f t="shared" si="27"/>
        <v>0.51</v>
      </c>
      <c r="Q82" s="85">
        <f>1-P82</f>
        <v>0.49</v>
      </c>
      <c r="R82" s="67">
        <v>0.45</v>
      </c>
      <c r="S82" s="67"/>
      <c r="T82" s="40" t="s">
        <v>548</v>
      </c>
      <c r="U82" s="87" t="s">
        <v>928</v>
      </c>
      <c r="V82" s="137" t="s">
        <v>929</v>
      </c>
      <c r="W82" s="46" t="s">
        <v>771</v>
      </c>
      <c r="X82"/>
      <c r="Z82" t="b">
        <f t="shared" si="18"/>
        <v>1</v>
      </c>
      <c r="AA82" s="46" t="s">
        <v>771</v>
      </c>
      <c r="AB82" s="67">
        <f t="shared" si="25"/>
        <v>1.1250000000000001E-2</v>
      </c>
      <c r="AC82" s="151">
        <f t="shared" si="19"/>
        <v>2250.0000000000005</v>
      </c>
      <c r="AD82" s="152">
        <f ca="1">((Main!$C$4-E82)*(200000*(H82/100))/360)*0.025</f>
        <v>108.33333333333333</v>
      </c>
      <c r="AE82" s="152">
        <f t="shared" ca="1" si="20"/>
        <v>2358.3333333333339</v>
      </c>
      <c r="AF82" s="153">
        <f t="shared" ca="1" si="21"/>
        <v>8660.9791666666679</v>
      </c>
      <c r="AH82" s="67">
        <f t="shared" si="26"/>
        <v>1.1596500000000001E-2</v>
      </c>
      <c r="AI82" s="151">
        <f t="shared" si="22"/>
        <v>2319.3000000000002</v>
      </c>
      <c r="AJ82">
        <f ca="1">((Main!$C$4-E82)*(200000*(H82/100))/360)*0.02577</f>
        <v>111.67</v>
      </c>
      <c r="AK82" s="152">
        <f t="shared" ca="1" si="23"/>
        <v>2430.9700000000003</v>
      </c>
      <c r="AL82" s="153">
        <f t="shared" ca="1" si="24"/>
        <v>8927.7373250000001</v>
      </c>
      <c r="AM82"/>
    </row>
    <row r="83" spans="1:39" ht="13" customHeight="1" x14ac:dyDescent="0.35">
      <c r="A83" s="57" t="s">
        <v>774</v>
      </c>
      <c r="B83" s="58" t="s">
        <v>190</v>
      </c>
      <c r="C83" s="57" t="s">
        <v>774</v>
      </c>
      <c r="D83" s="26" t="s">
        <v>191</v>
      </c>
      <c r="E83" s="75">
        <f t="shared" si="16"/>
        <v>45960</v>
      </c>
      <c r="F83" s="75" t="s">
        <v>562</v>
      </c>
      <c r="G83" s="74">
        <f t="shared" si="17"/>
        <v>46325</v>
      </c>
      <c r="H83" s="59">
        <v>5</v>
      </c>
      <c r="I83" s="71" t="s">
        <v>19</v>
      </c>
      <c r="J83" s="60" t="s">
        <v>8</v>
      </c>
      <c r="K83" s="60" t="s">
        <v>741</v>
      </c>
      <c r="L83" s="60" t="s">
        <v>5</v>
      </c>
      <c r="M83" s="61">
        <v>1</v>
      </c>
      <c r="N83" s="61"/>
      <c r="O83" s="61">
        <v>0</v>
      </c>
      <c r="P83" s="69">
        <f t="shared" si="27"/>
        <v>1</v>
      </c>
      <c r="Q83" s="85"/>
      <c r="R83" s="67">
        <v>0</v>
      </c>
      <c r="S83" s="67"/>
      <c r="T83" s="62" t="s">
        <v>550</v>
      </c>
      <c r="U83" s="144" t="s">
        <v>933</v>
      </c>
      <c r="V83" s="145" t="s">
        <v>927</v>
      </c>
      <c r="W83" s="57" t="s">
        <v>774</v>
      </c>
      <c r="Z83" t="b">
        <f t="shared" si="18"/>
        <v>1</v>
      </c>
      <c r="AA83" s="57" t="s">
        <v>774</v>
      </c>
      <c r="AB83" s="67">
        <f t="shared" si="25"/>
        <v>0</v>
      </c>
      <c r="AC83" s="151">
        <f t="shared" si="19"/>
        <v>0</v>
      </c>
      <c r="AD83" s="152">
        <f ca="1">((Main!$C$4-E83)*(200000*(H83/100))/360)*0.025</f>
        <v>77.083333333333343</v>
      </c>
      <c r="AE83" s="152">
        <f t="shared" ca="1" si="20"/>
        <v>77.083333333333343</v>
      </c>
      <c r="AF83" s="153">
        <f t="shared" ca="1" si="21"/>
        <v>283.08854166666669</v>
      </c>
      <c r="AH83" s="67">
        <f t="shared" si="26"/>
        <v>0</v>
      </c>
      <c r="AI83" s="151">
        <f t="shared" si="22"/>
        <v>0</v>
      </c>
      <c r="AJ83">
        <f ca="1">((Main!$C$4-E83)*(200000*(H83/100))/360)*0.02577</f>
        <v>79.45750000000001</v>
      </c>
      <c r="AK83" s="152">
        <f t="shared" ca="1" si="23"/>
        <v>79.45750000000001</v>
      </c>
      <c r="AL83" s="153">
        <f t="shared" ca="1" si="24"/>
        <v>291.80766875</v>
      </c>
    </row>
    <row r="84" spans="1:39" ht="12.75" customHeight="1" x14ac:dyDescent="0.35">
      <c r="A84" s="46" t="s">
        <v>775</v>
      </c>
      <c r="B84" s="38" t="s">
        <v>192</v>
      </c>
      <c r="C84" s="46" t="s">
        <v>775</v>
      </c>
      <c r="D84" s="22" t="s">
        <v>193</v>
      </c>
      <c r="E84" s="75">
        <f t="shared" si="16"/>
        <v>45909</v>
      </c>
      <c r="F84" s="75" t="s">
        <v>565</v>
      </c>
      <c r="G84" s="74">
        <f t="shared" si="17"/>
        <v>46274</v>
      </c>
      <c r="H84" s="19">
        <v>2.7629999999999999</v>
      </c>
      <c r="I84" s="71" t="s">
        <v>19</v>
      </c>
      <c r="J84" s="2" t="s">
        <v>8</v>
      </c>
      <c r="K84" s="60" t="s">
        <v>741</v>
      </c>
      <c r="L84" s="2" t="s">
        <v>5</v>
      </c>
      <c r="M84" s="3">
        <v>1</v>
      </c>
      <c r="N84" s="3"/>
      <c r="O84" s="3">
        <v>0</v>
      </c>
      <c r="P84" s="69">
        <f t="shared" si="27"/>
        <v>1</v>
      </c>
      <c r="Q84" s="85"/>
      <c r="R84" s="67">
        <v>0</v>
      </c>
      <c r="S84" s="67"/>
      <c r="T84" s="40" t="s">
        <v>550</v>
      </c>
      <c r="U84" s="87" t="s">
        <v>933</v>
      </c>
      <c r="V84" s="137" t="s">
        <v>927</v>
      </c>
      <c r="W84" s="46" t="s">
        <v>775</v>
      </c>
      <c r="Z84" t="b">
        <f t="shared" si="18"/>
        <v>1</v>
      </c>
      <c r="AA84" s="46" t="s">
        <v>775</v>
      </c>
      <c r="AB84" s="67">
        <f t="shared" si="25"/>
        <v>0</v>
      </c>
      <c r="AC84" s="151">
        <f t="shared" si="19"/>
        <v>0</v>
      </c>
      <c r="AD84" s="152">
        <f ca="1">((Main!$C$4-E84)*(200000*(H84/100))/360)*0.025</f>
        <v>62.167499999999997</v>
      </c>
      <c r="AE84" s="152">
        <f t="shared" ca="1" si="20"/>
        <v>62.167499999999997</v>
      </c>
      <c r="AF84" s="153">
        <f t="shared" ca="1" si="21"/>
        <v>228.31014374999998</v>
      </c>
      <c r="AH84" s="67">
        <f t="shared" si="26"/>
        <v>0</v>
      </c>
      <c r="AI84" s="151">
        <f t="shared" si="22"/>
        <v>0</v>
      </c>
      <c r="AJ84">
        <f ca="1">((Main!$C$4-E84)*(200000*(H84/100))/360)*0.02577</f>
        <v>64.082258999999993</v>
      </c>
      <c r="AK84" s="152">
        <f t="shared" ca="1" si="23"/>
        <v>64.082258999999993</v>
      </c>
      <c r="AL84" s="153">
        <f t="shared" ca="1" si="24"/>
        <v>235.34209617749997</v>
      </c>
    </row>
    <row r="85" spans="1:39" ht="12.75" customHeight="1" x14ac:dyDescent="0.35">
      <c r="A85" s="52" t="s">
        <v>245</v>
      </c>
      <c r="B85" s="41" t="s">
        <v>246</v>
      </c>
      <c r="C85" s="52" t="s">
        <v>245</v>
      </c>
      <c r="D85" s="42" t="s">
        <v>247</v>
      </c>
      <c r="E85" s="75">
        <f t="shared" si="16"/>
        <v>45897</v>
      </c>
      <c r="F85" s="75" t="s">
        <v>588</v>
      </c>
      <c r="G85" s="74">
        <f t="shared" si="17"/>
        <v>46262</v>
      </c>
      <c r="H85" s="19">
        <v>3.1320000000000001</v>
      </c>
      <c r="I85" s="71" t="s">
        <v>19</v>
      </c>
      <c r="J85" s="60" t="s">
        <v>943</v>
      </c>
      <c r="K85" s="43" t="s">
        <v>754</v>
      </c>
      <c r="L85" s="43" t="s">
        <v>248</v>
      </c>
      <c r="M85" s="44">
        <v>0.34</v>
      </c>
      <c r="N85" s="44"/>
      <c r="O85" s="44">
        <v>0.66</v>
      </c>
      <c r="P85" s="69">
        <f t="shared" si="27"/>
        <v>0.34</v>
      </c>
      <c r="Q85" s="85"/>
      <c r="R85" s="67">
        <v>0.66</v>
      </c>
      <c r="S85" s="67"/>
      <c r="T85" s="45" t="s">
        <v>548</v>
      </c>
      <c r="U85" s="87" t="s">
        <v>944</v>
      </c>
      <c r="V85" s="141" t="s">
        <v>945</v>
      </c>
      <c r="W85" s="52" t="s">
        <v>245</v>
      </c>
      <c r="Z85" t="b">
        <f t="shared" si="18"/>
        <v>1</v>
      </c>
      <c r="AA85" s="52" t="s">
        <v>245</v>
      </c>
      <c r="AB85" s="67">
        <f t="shared" si="25"/>
        <v>1.6500000000000001E-2</v>
      </c>
      <c r="AC85" s="151">
        <f t="shared" si="19"/>
        <v>3300</v>
      </c>
      <c r="AD85" s="152">
        <f ca="1">((Main!$C$4-E85)*(200000*(H85/100))/360)*0.025</f>
        <v>75.69</v>
      </c>
      <c r="AE85" s="152">
        <f t="shared" ca="1" si="20"/>
        <v>3375.69</v>
      </c>
      <c r="AF85" s="153">
        <f t="shared" ca="1" si="21"/>
        <v>12397.221524999999</v>
      </c>
      <c r="AH85" s="67">
        <f t="shared" si="26"/>
        <v>1.7008200000000001E-2</v>
      </c>
      <c r="AI85" s="151">
        <f t="shared" si="22"/>
        <v>3401.6400000000003</v>
      </c>
      <c r="AJ85">
        <f ca="1">((Main!$C$4-E85)*(200000*(H85/100))/360)*0.02577</f>
        <v>78.021252000000004</v>
      </c>
      <c r="AK85" s="152">
        <f t="shared" ca="1" si="23"/>
        <v>3479.6612520000003</v>
      </c>
      <c r="AL85" s="153">
        <f t="shared" ca="1" si="24"/>
        <v>12779.05594797</v>
      </c>
    </row>
    <row r="86" spans="1:39" ht="12.75" customHeight="1" x14ac:dyDescent="0.35">
      <c r="A86" s="46" t="s">
        <v>249</v>
      </c>
      <c r="B86" s="38" t="s">
        <v>250</v>
      </c>
      <c r="C86" s="46" t="s">
        <v>249</v>
      </c>
      <c r="D86" s="22" t="s">
        <v>251</v>
      </c>
      <c r="E86" s="75">
        <f t="shared" si="16"/>
        <v>46054</v>
      </c>
      <c r="F86" s="75" t="s">
        <v>619</v>
      </c>
      <c r="G86" s="74">
        <f t="shared" si="17"/>
        <v>46419</v>
      </c>
      <c r="H86" s="19">
        <v>5</v>
      </c>
      <c r="I86" s="71" t="s">
        <v>19</v>
      </c>
      <c r="J86" s="27" t="s">
        <v>4</v>
      </c>
      <c r="K86" s="2" t="s">
        <v>749</v>
      </c>
      <c r="L86" s="27" t="s">
        <v>252</v>
      </c>
      <c r="M86" s="3">
        <v>0.51</v>
      </c>
      <c r="N86" s="3"/>
      <c r="O86" s="3">
        <v>0.49</v>
      </c>
      <c r="P86" s="69">
        <f t="shared" si="27"/>
        <v>0.51</v>
      </c>
      <c r="Q86" s="85">
        <f>1-P86</f>
        <v>0.49</v>
      </c>
      <c r="R86" s="67">
        <v>0.45</v>
      </c>
      <c r="S86" s="67"/>
      <c r="T86" s="40" t="s">
        <v>548</v>
      </c>
      <c r="U86" s="87" t="s">
        <v>928</v>
      </c>
      <c r="V86" s="137" t="s">
        <v>929</v>
      </c>
      <c r="W86" s="46" t="s">
        <v>249</v>
      </c>
      <c r="Z86" t="b">
        <f t="shared" si="18"/>
        <v>1</v>
      </c>
      <c r="AA86" s="46" t="s">
        <v>249</v>
      </c>
      <c r="AB86" s="67">
        <f t="shared" si="25"/>
        <v>1.1250000000000001E-2</v>
      </c>
      <c r="AC86" s="151">
        <f t="shared" si="19"/>
        <v>2250.0000000000005</v>
      </c>
      <c r="AD86" s="152">
        <f ca="1">((Main!$C$4-E86)*(200000*(H86/100))/360)*0.025</f>
        <v>11.805555555555557</v>
      </c>
      <c r="AE86" s="152">
        <f t="shared" ca="1" si="20"/>
        <v>2261.8055555555561</v>
      </c>
      <c r="AF86" s="153">
        <f t="shared" ca="1" si="21"/>
        <v>8306.4809027777792</v>
      </c>
      <c r="AH86" s="67">
        <f t="shared" si="26"/>
        <v>1.1596500000000001E-2</v>
      </c>
      <c r="AI86" s="151">
        <f t="shared" si="22"/>
        <v>2319.3000000000002</v>
      </c>
      <c r="AJ86">
        <f ca="1">((Main!$C$4-E86)*(200000*(H86/100))/360)*0.02577</f>
        <v>12.169166666666667</v>
      </c>
      <c r="AK86" s="152">
        <f t="shared" ca="1" si="23"/>
        <v>2331.4691666666668</v>
      </c>
      <c r="AL86" s="153">
        <f t="shared" ca="1" si="24"/>
        <v>8562.3205145833326</v>
      </c>
    </row>
    <row r="87" spans="1:39" ht="12.75" customHeight="1" x14ac:dyDescent="0.35">
      <c r="A87" s="46" t="s">
        <v>16</v>
      </c>
      <c r="B87" s="38" t="s">
        <v>404</v>
      </c>
      <c r="C87" s="46" t="s">
        <v>16</v>
      </c>
      <c r="D87" s="22" t="s">
        <v>405</v>
      </c>
      <c r="E87" s="75">
        <f t="shared" si="16"/>
        <v>46053</v>
      </c>
      <c r="F87" s="75" t="s">
        <v>620</v>
      </c>
      <c r="G87" s="74">
        <f t="shared" si="17"/>
        <v>46418</v>
      </c>
      <c r="H87" s="19">
        <v>7.95</v>
      </c>
      <c r="I87" s="71" t="s">
        <v>19</v>
      </c>
      <c r="J87" s="2" t="s">
        <v>8</v>
      </c>
      <c r="K87" s="60" t="s">
        <v>742</v>
      </c>
      <c r="L87" s="2" t="s">
        <v>17</v>
      </c>
      <c r="M87" s="3">
        <v>1</v>
      </c>
      <c r="N87" s="3"/>
      <c r="O87" s="3">
        <v>0</v>
      </c>
      <c r="P87" s="69">
        <f t="shared" si="27"/>
        <v>1</v>
      </c>
      <c r="Q87" s="85"/>
      <c r="R87" s="67">
        <v>0</v>
      </c>
      <c r="S87" s="67"/>
      <c r="T87" s="40" t="s">
        <v>550</v>
      </c>
      <c r="U87" s="142" t="s">
        <v>933</v>
      </c>
      <c r="V87" s="143" t="s">
        <v>927</v>
      </c>
      <c r="W87" s="46" t="s">
        <v>16</v>
      </c>
      <c r="Z87" t="b">
        <f t="shared" si="18"/>
        <v>1</v>
      </c>
      <c r="AA87" s="46" t="s">
        <v>16</v>
      </c>
      <c r="AB87" s="67">
        <f t="shared" si="25"/>
        <v>0</v>
      </c>
      <c r="AC87" s="151">
        <f t="shared" si="19"/>
        <v>0</v>
      </c>
      <c r="AD87" s="152">
        <f ca="1">((Main!$C$4-E87)*(200000*(H87/100))/360)*0.025</f>
        <v>19.875</v>
      </c>
      <c r="AE87" s="152">
        <f t="shared" ca="1" si="20"/>
        <v>19.875</v>
      </c>
      <c r="AF87" s="153">
        <f t="shared" ca="1" si="21"/>
        <v>72.990937500000001</v>
      </c>
      <c r="AH87" s="67">
        <f t="shared" si="26"/>
        <v>0</v>
      </c>
      <c r="AI87" s="151">
        <f t="shared" si="22"/>
        <v>0</v>
      </c>
      <c r="AJ87">
        <f ca="1">((Main!$C$4-E87)*(200000*(H87/100))/360)*0.02577</f>
        <v>20.48715</v>
      </c>
      <c r="AK87" s="152">
        <f t="shared" ca="1" si="23"/>
        <v>20.48715</v>
      </c>
      <c r="AL87" s="153">
        <f t="shared" ca="1" si="24"/>
        <v>75.239058374999999</v>
      </c>
    </row>
    <row r="88" spans="1:39" ht="12.75" customHeight="1" x14ac:dyDescent="0.35">
      <c r="A88" s="46" t="s">
        <v>304</v>
      </c>
      <c r="B88" s="38" t="s">
        <v>305</v>
      </c>
      <c r="C88" s="46" t="s">
        <v>304</v>
      </c>
      <c r="D88" s="22" t="s">
        <v>306</v>
      </c>
      <c r="E88" s="75">
        <f t="shared" si="16"/>
        <v>45974</v>
      </c>
      <c r="F88" s="75" t="s">
        <v>585</v>
      </c>
      <c r="G88" s="74">
        <f t="shared" si="17"/>
        <v>46339</v>
      </c>
      <c r="H88" s="19">
        <v>7.375</v>
      </c>
      <c r="I88" s="71" t="s">
        <v>19</v>
      </c>
      <c r="J88" s="2" t="s">
        <v>4</v>
      </c>
      <c r="K88" s="2" t="s">
        <v>749</v>
      </c>
      <c r="L88" s="2" t="s">
        <v>307</v>
      </c>
      <c r="M88" s="3">
        <v>0.55000000000000004</v>
      </c>
      <c r="N88" s="3"/>
      <c r="O88" s="3">
        <v>0.45</v>
      </c>
      <c r="P88" s="69">
        <f t="shared" si="27"/>
        <v>0.55000000000000004</v>
      </c>
      <c r="Q88" s="85">
        <f t="shared" ref="Q88:Q97" si="28">1-P88</f>
        <v>0.44999999999999996</v>
      </c>
      <c r="R88" s="67">
        <v>0.45</v>
      </c>
      <c r="S88" s="67"/>
      <c r="T88" s="40" t="s">
        <v>548</v>
      </c>
      <c r="U88" s="87" t="s">
        <v>928</v>
      </c>
      <c r="V88" s="137" t="s">
        <v>929</v>
      </c>
      <c r="W88" s="46" t="s">
        <v>304</v>
      </c>
      <c r="Z88" t="b">
        <f t="shared" si="18"/>
        <v>1</v>
      </c>
      <c r="AA88" s="46" t="s">
        <v>304</v>
      </c>
      <c r="AB88" s="67">
        <f t="shared" si="25"/>
        <v>1.1250000000000001E-2</v>
      </c>
      <c r="AC88" s="151">
        <f t="shared" si="19"/>
        <v>2250.0000000000005</v>
      </c>
      <c r="AD88" s="152">
        <f ca="1">((Main!$C$4-E88)*(200000*(H88/100))/360)*0.025</f>
        <v>99.3576388888889</v>
      </c>
      <c r="AE88" s="152">
        <f t="shared" ca="1" si="20"/>
        <v>2349.3576388888891</v>
      </c>
      <c r="AF88" s="153">
        <f t="shared" ca="1" si="21"/>
        <v>8628.0159288194445</v>
      </c>
      <c r="AH88" s="67">
        <f t="shared" si="26"/>
        <v>1.1596500000000001E-2</v>
      </c>
      <c r="AI88" s="151">
        <f t="shared" si="22"/>
        <v>2319.3000000000002</v>
      </c>
      <c r="AJ88">
        <f ca="1">((Main!$C$4-E88)*(200000*(H88/100))/360)*0.02577</f>
        <v>102.41785416666667</v>
      </c>
      <c r="AK88" s="152">
        <f t="shared" ca="1" si="23"/>
        <v>2421.7178541666667</v>
      </c>
      <c r="AL88" s="153">
        <f t="shared" ca="1" si="24"/>
        <v>8893.7588194270829</v>
      </c>
    </row>
    <row r="89" spans="1:39" ht="12.75" customHeight="1" x14ac:dyDescent="0.35">
      <c r="A89" s="46" t="s">
        <v>776</v>
      </c>
      <c r="B89" s="38" t="s">
        <v>111</v>
      </c>
      <c r="C89" s="46" t="s">
        <v>776</v>
      </c>
      <c r="D89" s="22" t="s">
        <v>112</v>
      </c>
      <c r="E89" s="75">
        <f t="shared" si="16"/>
        <v>45979</v>
      </c>
      <c r="F89" s="75" t="s">
        <v>621</v>
      </c>
      <c r="G89" s="74">
        <f t="shared" si="17"/>
        <v>46344</v>
      </c>
      <c r="H89" s="19">
        <v>3.875</v>
      </c>
      <c r="I89" s="71" t="s">
        <v>19</v>
      </c>
      <c r="J89" s="2" t="s">
        <v>4</v>
      </c>
      <c r="K89" s="2" t="s">
        <v>749</v>
      </c>
      <c r="L89" s="2" t="s">
        <v>5</v>
      </c>
      <c r="M89" s="3">
        <v>0.51</v>
      </c>
      <c r="N89" s="3"/>
      <c r="O89" s="3">
        <v>0.49</v>
      </c>
      <c r="P89" s="69">
        <f t="shared" si="27"/>
        <v>0.51</v>
      </c>
      <c r="Q89" s="85">
        <f t="shared" si="28"/>
        <v>0.49</v>
      </c>
      <c r="R89" s="67">
        <v>0.45</v>
      </c>
      <c r="S89" s="67"/>
      <c r="T89" s="40" t="s">
        <v>548</v>
      </c>
      <c r="U89" s="87" t="s">
        <v>928</v>
      </c>
      <c r="V89" s="137" t="s">
        <v>929</v>
      </c>
      <c r="W89" s="46" t="s">
        <v>776</v>
      </c>
      <c r="Z89" t="b">
        <f t="shared" si="18"/>
        <v>1</v>
      </c>
      <c r="AA89" s="46" t="s">
        <v>776</v>
      </c>
      <c r="AB89" s="67">
        <f t="shared" si="25"/>
        <v>1.1250000000000001E-2</v>
      </c>
      <c r="AC89" s="151">
        <f t="shared" si="19"/>
        <v>2250.0000000000005</v>
      </c>
      <c r="AD89" s="152">
        <f ca="1">((Main!$C$4-E89)*(200000*(H89/100))/360)*0.025</f>
        <v>49.513888888888893</v>
      </c>
      <c r="AE89" s="152">
        <f t="shared" ca="1" si="20"/>
        <v>2299.5138888888891</v>
      </c>
      <c r="AF89" s="153">
        <f t="shared" ca="1" si="21"/>
        <v>8444.964756944446</v>
      </c>
      <c r="AH89" s="67">
        <f t="shared" si="26"/>
        <v>1.1596500000000001E-2</v>
      </c>
      <c r="AI89" s="151">
        <f t="shared" si="22"/>
        <v>2319.3000000000002</v>
      </c>
      <c r="AJ89">
        <f ca="1">((Main!$C$4-E89)*(200000*(H89/100))/360)*0.02577</f>
        <v>51.038916666666672</v>
      </c>
      <c r="AK89" s="152">
        <f t="shared" ca="1" si="23"/>
        <v>2370.338916666667</v>
      </c>
      <c r="AL89" s="153">
        <f t="shared" ca="1" si="24"/>
        <v>8705.0696714583337</v>
      </c>
    </row>
    <row r="90" spans="1:39" ht="12.75" customHeight="1" x14ac:dyDescent="0.35">
      <c r="A90" s="46" t="s">
        <v>777</v>
      </c>
      <c r="B90" s="38" t="s">
        <v>113</v>
      </c>
      <c r="C90" s="46" t="s">
        <v>777</v>
      </c>
      <c r="D90" s="22" t="s">
        <v>114</v>
      </c>
      <c r="E90" s="75">
        <f t="shared" si="16"/>
        <v>45916</v>
      </c>
      <c r="F90" s="75" t="s">
        <v>622</v>
      </c>
      <c r="G90" s="74">
        <f t="shared" si="17"/>
        <v>46281</v>
      </c>
      <c r="H90" s="19">
        <v>3.95</v>
      </c>
      <c r="I90" s="71" t="s">
        <v>19</v>
      </c>
      <c r="J90" s="2" t="s">
        <v>4</v>
      </c>
      <c r="K90" s="2" t="s">
        <v>749</v>
      </c>
      <c r="L90" s="2" t="s">
        <v>5</v>
      </c>
      <c r="M90" s="3">
        <v>0.51</v>
      </c>
      <c r="N90" s="3"/>
      <c r="O90" s="3">
        <v>0.49</v>
      </c>
      <c r="P90" s="69">
        <f t="shared" si="27"/>
        <v>0.51</v>
      </c>
      <c r="Q90" s="85">
        <f t="shared" si="28"/>
        <v>0.49</v>
      </c>
      <c r="R90" s="67">
        <v>0.45</v>
      </c>
      <c r="S90" s="67"/>
      <c r="T90" s="40" t="s">
        <v>548</v>
      </c>
      <c r="U90" s="87" t="s">
        <v>928</v>
      </c>
      <c r="V90" s="137" t="s">
        <v>929</v>
      </c>
      <c r="W90" s="46" t="s">
        <v>777</v>
      </c>
      <c r="Z90" t="b">
        <f t="shared" si="18"/>
        <v>1</v>
      </c>
      <c r="AA90" s="46" t="s">
        <v>777</v>
      </c>
      <c r="AB90" s="67">
        <f t="shared" si="25"/>
        <v>1.1250000000000001E-2</v>
      </c>
      <c r="AC90" s="151">
        <f t="shared" si="19"/>
        <v>2250.0000000000005</v>
      </c>
      <c r="AD90" s="152">
        <f ca="1">((Main!$C$4-E90)*(200000*(H90/100))/360)*0.025</f>
        <v>85.034722222222229</v>
      </c>
      <c r="AE90" s="152">
        <f t="shared" ca="1" si="20"/>
        <v>2335.0347222222226</v>
      </c>
      <c r="AF90" s="153">
        <f t="shared" ca="1" si="21"/>
        <v>8575.4150173611124</v>
      </c>
      <c r="AH90" s="67">
        <f t="shared" si="26"/>
        <v>1.1596500000000001E-2</v>
      </c>
      <c r="AI90" s="151">
        <f t="shared" si="22"/>
        <v>2319.3000000000002</v>
      </c>
      <c r="AJ90">
        <f ca="1">((Main!$C$4-E90)*(200000*(H90/100))/360)*0.02577</f>
        <v>87.653791666666663</v>
      </c>
      <c r="AK90" s="152">
        <f t="shared" ca="1" si="23"/>
        <v>2406.9537916666668</v>
      </c>
      <c r="AL90" s="153">
        <f t="shared" ca="1" si="24"/>
        <v>8839.5377998958338</v>
      </c>
    </row>
    <row r="91" spans="1:39" ht="12.75" customHeight="1" x14ac:dyDescent="0.35">
      <c r="A91" s="46" t="s">
        <v>778</v>
      </c>
      <c r="B91" s="38" t="s">
        <v>115</v>
      </c>
      <c r="C91" s="46" t="s">
        <v>778</v>
      </c>
      <c r="D91" s="22" t="s">
        <v>116</v>
      </c>
      <c r="E91" s="75">
        <f t="shared" si="16"/>
        <v>45930</v>
      </c>
      <c r="F91" s="75" t="s">
        <v>623</v>
      </c>
      <c r="G91" s="74">
        <f t="shared" si="17"/>
        <v>46295</v>
      </c>
      <c r="H91" s="19">
        <v>4.5</v>
      </c>
      <c r="I91" s="71" t="s">
        <v>19</v>
      </c>
      <c r="J91" s="2" t="s">
        <v>4</v>
      </c>
      <c r="K91" s="2" t="s">
        <v>749</v>
      </c>
      <c r="L91" s="2" t="s">
        <v>5</v>
      </c>
      <c r="M91" s="3">
        <v>0.51</v>
      </c>
      <c r="N91" s="3"/>
      <c r="O91" s="3">
        <v>0.49</v>
      </c>
      <c r="P91" s="69">
        <f t="shared" si="27"/>
        <v>0.51</v>
      </c>
      <c r="Q91" s="85">
        <f t="shared" si="28"/>
        <v>0.49</v>
      </c>
      <c r="R91" s="67">
        <v>0.45</v>
      </c>
      <c r="S91" s="67"/>
      <c r="T91" s="40" t="s">
        <v>548</v>
      </c>
      <c r="U91" s="87" t="s">
        <v>928</v>
      </c>
      <c r="V91" s="137" t="s">
        <v>929</v>
      </c>
      <c r="W91" s="46" t="s">
        <v>778</v>
      </c>
      <c r="Z91" t="b">
        <f t="shared" si="18"/>
        <v>1</v>
      </c>
      <c r="AA91" s="46" t="s">
        <v>778</v>
      </c>
      <c r="AB91" s="67">
        <f t="shared" si="25"/>
        <v>1.1250000000000001E-2</v>
      </c>
      <c r="AC91" s="151">
        <f t="shared" si="19"/>
        <v>2250.0000000000005</v>
      </c>
      <c r="AD91" s="152">
        <f ca="1">((Main!$C$4-E91)*(200000*(H91/100))/360)*0.025</f>
        <v>88.125</v>
      </c>
      <c r="AE91" s="152">
        <f t="shared" ca="1" si="20"/>
        <v>2338.1250000000005</v>
      </c>
      <c r="AF91" s="153">
        <f t="shared" ca="1" si="21"/>
        <v>8586.7640625000022</v>
      </c>
      <c r="AH91" s="67">
        <f t="shared" si="26"/>
        <v>1.1596500000000001E-2</v>
      </c>
      <c r="AI91" s="151">
        <f t="shared" si="22"/>
        <v>2319.3000000000002</v>
      </c>
      <c r="AJ91">
        <f ca="1">((Main!$C$4-E91)*(200000*(H91/100))/360)*0.02577</f>
        <v>90.839250000000007</v>
      </c>
      <c r="AK91" s="152">
        <f t="shared" ca="1" si="23"/>
        <v>2410.1392500000002</v>
      </c>
      <c r="AL91" s="153">
        <f t="shared" ca="1" si="24"/>
        <v>8851.236395625001</v>
      </c>
    </row>
    <row r="92" spans="1:39" ht="12.75" customHeight="1" x14ac:dyDescent="0.35">
      <c r="A92" s="46" t="s">
        <v>779</v>
      </c>
      <c r="B92" s="38" t="s">
        <v>117</v>
      </c>
      <c r="C92" s="46" t="s">
        <v>779</v>
      </c>
      <c r="D92" s="22" t="s">
        <v>118</v>
      </c>
      <c r="E92" s="75">
        <f t="shared" si="16"/>
        <v>45996</v>
      </c>
      <c r="F92" s="75" t="s">
        <v>624</v>
      </c>
      <c r="G92" s="74">
        <f t="shared" si="17"/>
        <v>46361</v>
      </c>
      <c r="H92" s="19">
        <v>5.875</v>
      </c>
      <c r="I92" s="71" t="s">
        <v>19</v>
      </c>
      <c r="J92" s="2" t="s">
        <v>4</v>
      </c>
      <c r="K92" s="2" t="s">
        <v>749</v>
      </c>
      <c r="L92" s="2" t="s">
        <v>5</v>
      </c>
      <c r="M92" s="3">
        <v>0.51</v>
      </c>
      <c r="N92" s="3"/>
      <c r="O92" s="3">
        <v>0.49</v>
      </c>
      <c r="P92" s="69">
        <f t="shared" si="27"/>
        <v>0.51</v>
      </c>
      <c r="Q92" s="85">
        <f t="shared" si="28"/>
        <v>0.49</v>
      </c>
      <c r="R92" s="67">
        <v>0.45</v>
      </c>
      <c r="S92" s="67"/>
      <c r="T92" s="40" t="s">
        <v>548</v>
      </c>
      <c r="U92" s="87" t="s">
        <v>928</v>
      </c>
      <c r="V92" s="137" t="s">
        <v>929</v>
      </c>
      <c r="W92" s="46" t="s">
        <v>779</v>
      </c>
      <c r="Z92" t="b">
        <f t="shared" si="18"/>
        <v>1</v>
      </c>
      <c r="AA92" s="46" t="s">
        <v>779</v>
      </c>
      <c r="AB92" s="67">
        <f t="shared" si="25"/>
        <v>1.1250000000000001E-2</v>
      </c>
      <c r="AC92" s="151">
        <f t="shared" si="19"/>
        <v>2250.0000000000005</v>
      </c>
      <c r="AD92" s="152">
        <f ca="1">((Main!$C$4-E92)*(200000*(H92/100))/360)*0.025</f>
        <v>61.197916666666664</v>
      </c>
      <c r="AE92" s="152">
        <f t="shared" ca="1" si="20"/>
        <v>2311.197916666667</v>
      </c>
      <c r="AF92" s="153">
        <f t="shared" ca="1" si="21"/>
        <v>8487.8743489583339</v>
      </c>
      <c r="AH92" s="67">
        <f t="shared" si="26"/>
        <v>1.1596500000000001E-2</v>
      </c>
      <c r="AI92" s="151">
        <f t="shared" si="22"/>
        <v>2319.3000000000002</v>
      </c>
      <c r="AJ92">
        <f ca="1">((Main!$C$4-E92)*(200000*(H92/100))/360)*0.02577</f>
        <v>63.082812499999996</v>
      </c>
      <c r="AK92" s="152">
        <f t="shared" ca="1" si="23"/>
        <v>2382.3828125</v>
      </c>
      <c r="AL92" s="153">
        <f t="shared" ca="1" si="24"/>
        <v>8749.3008789062496</v>
      </c>
    </row>
    <row r="93" spans="1:39" ht="12.75" customHeight="1" x14ac:dyDescent="0.35">
      <c r="A93" s="46" t="s">
        <v>780</v>
      </c>
      <c r="B93" s="38" t="s">
        <v>119</v>
      </c>
      <c r="C93" s="46" t="s">
        <v>780</v>
      </c>
      <c r="D93" s="22" t="s">
        <v>120</v>
      </c>
      <c r="E93" s="75">
        <f t="shared" si="16"/>
        <v>45881</v>
      </c>
      <c r="F93" s="75" t="s">
        <v>625</v>
      </c>
      <c r="G93" s="74">
        <f t="shared" si="17"/>
        <v>46246</v>
      </c>
      <c r="H93" s="19">
        <v>6</v>
      </c>
      <c r="I93" s="71" t="s">
        <v>19</v>
      </c>
      <c r="J93" s="2" t="s">
        <v>4</v>
      </c>
      <c r="K93" s="2" t="s">
        <v>749</v>
      </c>
      <c r="L93" s="2" t="s">
        <v>5</v>
      </c>
      <c r="M93" s="3">
        <v>0.51</v>
      </c>
      <c r="N93" s="3"/>
      <c r="O93" s="3">
        <v>0.49</v>
      </c>
      <c r="P93" s="69">
        <f t="shared" si="27"/>
        <v>0.51</v>
      </c>
      <c r="Q93" s="85">
        <f t="shared" si="28"/>
        <v>0.49</v>
      </c>
      <c r="R93" s="67">
        <v>0.45</v>
      </c>
      <c r="S93" s="67"/>
      <c r="T93" s="40" t="s">
        <v>548</v>
      </c>
      <c r="U93" s="87" t="s">
        <v>928</v>
      </c>
      <c r="V93" s="137" t="s">
        <v>929</v>
      </c>
      <c r="W93" s="46" t="s">
        <v>780</v>
      </c>
      <c r="Z93" t="b">
        <f t="shared" si="18"/>
        <v>1</v>
      </c>
      <c r="AA93" s="46" t="s">
        <v>780</v>
      </c>
      <c r="AB93" s="67">
        <f t="shared" si="25"/>
        <v>1.1250000000000001E-2</v>
      </c>
      <c r="AC93" s="151">
        <f t="shared" si="19"/>
        <v>2250.0000000000005</v>
      </c>
      <c r="AD93" s="152">
        <f ca="1">((Main!$C$4-E93)*(200000*(H93/100))/360)*0.025</f>
        <v>158.33333333333334</v>
      </c>
      <c r="AE93" s="152">
        <f t="shared" ca="1" si="20"/>
        <v>2408.3333333333339</v>
      </c>
      <c r="AF93" s="153">
        <f t="shared" ca="1" si="21"/>
        <v>8844.6041666666679</v>
      </c>
      <c r="AH93" s="67">
        <f t="shared" si="26"/>
        <v>1.1596500000000001E-2</v>
      </c>
      <c r="AI93" s="151">
        <f t="shared" si="22"/>
        <v>2319.3000000000002</v>
      </c>
      <c r="AJ93">
        <f ca="1">((Main!$C$4-E93)*(200000*(H93/100))/360)*0.02577</f>
        <v>163.21</v>
      </c>
      <c r="AK93" s="152">
        <f t="shared" ca="1" si="23"/>
        <v>2482.5100000000002</v>
      </c>
      <c r="AL93" s="153">
        <f t="shared" ca="1" si="24"/>
        <v>9117.0179750000007</v>
      </c>
    </row>
    <row r="94" spans="1:39" ht="12.75" customHeight="1" x14ac:dyDescent="0.35">
      <c r="A94" s="46" t="s">
        <v>781</v>
      </c>
      <c r="B94" s="38" t="s">
        <v>121</v>
      </c>
      <c r="C94" s="46" t="s">
        <v>781</v>
      </c>
      <c r="D94" s="22" t="s">
        <v>122</v>
      </c>
      <c r="E94" s="75">
        <f t="shared" si="16"/>
        <v>46029</v>
      </c>
      <c r="F94" s="75" t="s">
        <v>626</v>
      </c>
      <c r="G94" s="74">
        <f t="shared" si="17"/>
        <v>46394</v>
      </c>
      <c r="H94" s="19">
        <v>6.25</v>
      </c>
      <c r="I94" s="71" t="s">
        <v>19</v>
      </c>
      <c r="J94" s="2" t="s">
        <v>4</v>
      </c>
      <c r="K94" s="2" t="s">
        <v>749</v>
      </c>
      <c r="L94" s="2" t="s">
        <v>5</v>
      </c>
      <c r="M94" s="3">
        <v>0.51</v>
      </c>
      <c r="N94" s="3"/>
      <c r="O94" s="3">
        <v>0.49</v>
      </c>
      <c r="P94" s="69">
        <f t="shared" si="27"/>
        <v>0.51</v>
      </c>
      <c r="Q94" s="85">
        <f t="shared" si="28"/>
        <v>0.49</v>
      </c>
      <c r="R94" s="67">
        <v>0.45</v>
      </c>
      <c r="S94" s="67"/>
      <c r="T94" s="40" t="s">
        <v>548</v>
      </c>
      <c r="U94" s="87" t="s">
        <v>928</v>
      </c>
      <c r="V94" s="137" t="s">
        <v>929</v>
      </c>
      <c r="W94" s="46" t="s">
        <v>781</v>
      </c>
      <c r="Z94" t="b">
        <f t="shared" si="18"/>
        <v>1</v>
      </c>
      <c r="AA94" s="46" t="s">
        <v>781</v>
      </c>
      <c r="AB94" s="67">
        <f t="shared" si="25"/>
        <v>1.1250000000000001E-2</v>
      </c>
      <c r="AC94" s="151">
        <f t="shared" si="19"/>
        <v>2250.0000000000005</v>
      </c>
      <c r="AD94" s="152">
        <f ca="1">((Main!$C$4-E94)*(200000*(H94/100))/360)*0.025</f>
        <v>36.458333333333336</v>
      </c>
      <c r="AE94" s="152">
        <f t="shared" ca="1" si="20"/>
        <v>2286.4583333333339</v>
      </c>
      <c r="AF94" s="153">
        <f t="shared" ca="1" si="21"/>
        <v>8397.0182291666679</v>
      </c>
      <c r="AH94" s="67">
        <f t="shared" si="26"/>
        <v>1.1596500000000001E-2</v>
      </c>
      <c r="AI94" s="151">
        <f t="shared" si="22"/>
        <v>2319.3000000000002</v>
      </c>
      <c r="AJ94">
        <f ca="1">((Main!$C$4-E94)*(200000*(H94/100))/360)*0.02577</f>
        <v>37.581249999999997</v>
      </c>
      <c r="AK94" s="152">
        <f t="shared" ca="1" si="23"/>
        <v>2356.8812500000004</v>
      </c>
      <c r="AL94" s="153">
        <f t="shared" ca="1" si="24"/>
        <v>8655.646390625001</v>
      </c>
    </row>
    <row r="95" spans="1:39" ht="12.75" customHeight="1" x14ac:dyDescent="0.35">
      <c r="A95" s="46" t="s">
        <v>782</v>
      </c>
      <c r="B95" s="38" t="s">
        <v>123</v>
      </c>
      <c r="C95" s="46" t="s">
        <v>782</v>
      </c>
      <c r="D95" s="22" t="s">
        <v>124</v>
      </c>
      <c r="E95" s="75">
        <f t="shared" si="16"/>
        <v>45948</v>
      </c>
      <c r="F95" s="75" t="s">
        <v>627</v>
      </c>
      <c r="G95" s="74">
        <f t="shared" si="17"/>
        <v>46313</v>
      </c>
      <c r="H95" s="19">
        <v>6.25</v>
      </c>
      <c r="I95" s="71" t="s">
        <v>19</v>
      </c>
      <c r="J95" s="2" t="s">
        <v>4</v>
      </c>
      <c r="K95" s="2" t="s">
        <v>749</v>
      </c>
      <c r="L95" s="2" t="s">
        <v>5</v>
      </c>
      <c r="M95" s="3">
        <v>0.51</v>
      </c>
      <c r="N95" s="3"/>
      <c r="O95" s="3">
        <v>0.49</v>
      </c>
      <c r="P95" s="69">
        <f t="shared" si="27"/>
        <v>0.51</v>
      </c>
      <c r="Q95" s="85">
        <f t="shared" si="28"/>
        <v>0.49</v>
      </c>
      <c r="R95" s="67">
        <v>0.45</v>
      </c>
      <c r="S95" s="67"/>
      <c r="T95" s="40" t="s">
        <v>548</v>
      </c>
      <c r="U95" s="87" t="s">
        <v>928</v>
      </c>
      <c r="V95" s="137" t="s">
        <v>929</v>
      </c>
      <c r="W95" s="46" t="s">
        <v>782</v>
      </c>
      <c r="Z95" t="b">
        <f t="shared" si="18"/>
        <v>1</v>
      </c>
      <c r="AA95" s="46" t="s">
        <v>782</v>
      </c>
      <c r="AB95" s="67">
        <f t="shared" si="25"/>
        <v>1.1250000000000001E-2</v>
      </c>
      <c r="AC95" s="151">
        <f t="shared" si="19"/>
        <v>2250.0000000000005</v>
      </c>
      <c r="AD95" s="152">
        <f ca="1">((Main!$C$4-E95)*(200000*(H95/100))/360)*0.025</f>
        <v>106.77083333333333</v>
      </c>
      <c r="AE95" s="152">
        <f t="shared" ca="1" si="20"/>
        <v>2356.7708333333339</v>
      </c>
      <c r="AF95" s="153">
        <f t="shared" ca="1" si="21"/>
        <v>8655.2408854166679</v>
      </c>
      <c r="AH95" s="67">
        <f t="shared" si="26"/>
        <v>1.1596500000000001E-2</v>
      </c>
      <c r="AI95" s="151">
        <f t="shared" si="22"/>
        <v>2319.3000000000002</v>
      </c>
      <c r="AJ95">
        <f ca="1">((Main!$C$4-E95)*(200000*(H95/100))/360)*0.02577</f>
        <v>110.059375</v>
      </c>
      <c r="AK95" s="152">
        <f t="shared" ca="1" si="23"/>
        <v>2429.359375</v>
      </c>
      <c r="AL95" s="153">
        <f t="shared" ca="1" si="24"/>
        <v>8921.8223046874991</v>
      </c>
    </row>
    <row r="96" spans="1:39" ht="12.75" customHeight="1" x14ac:dyDescent="0.35">
      <c r="A96" s="46" t="s">
        <v>783</v>
      </c>
      <c r="B96" s="38" t="s">
        <v>125</v>
      </c>
      <c r="C96" s="46" t="s">
        <v>783</v>
      </c>
      <c r="D96" s="22" t="s">
        <v>126</v>
      </c>
      <c r="E96" s="75">
        <f t="shared" si="16"/>
        <v>45875</v>
      </c>
      <c r="F96" s="75" t="s">
        <v>628</v>
      </c>
      <c r="G96" s="74">
        <f t="shared" si="17"/>
        <v>46240</v>
      </c>
      <c r="H96" s="19">
        <v>5.875</v>
      </c>
      <c r="I96" s="71" t="s">
        <v>19</v>
      </c>
      <c r="J96" s="2" t="s">
        <v>4</v>
      </c>
      <c r="K96" s="2" t="s">
        <v>749</v>
      </c>
      <c r="L96" s="2" t="s">
        <v>5</v>
      </c>
      <c r="M96" s="3">
        <v>0.51</v>
      </c>
      <c r="N96" s="3"/>
      <c r="O96" s="3">
        <v>0.49</v>
      </c>
      <c r="P96" s="69">
        <f t="shared" si="27"/>
        <v>0.51</v>
      </c>
      <c r="Q96" s="85">
        <f t="shared" si="28"/>
        <v>0.49</v>
      </c>
      <c r="R96" s="67">
        <v>0.45</v>
      </c>
      <c r="S96" s="67"/>
      <c r="T96" s="40" t="s">
        <v>548</v>
      </c>
      <c r="U96" s="87" t="s">
        <v>928</v>
      </c>
      <c r="V96" s="137" t="s">
        <v>929</v>
      </c>
      <c r="W96" s="46" t="s">
        <v>783</v>
      </c>
      <c r="Z96" t="b">
        <f t="shared" si="18"/>
        <v>1</v>
      </c>
      <c r="AA96" s="46" t="s">
        <v>783</v>
      </c>
      <c r="AB96" s="67">
        <f t="shared" si="25"/>
        <v>1.1250000000000001E-2</v>
      </c>
      <c r="AC96" s="151">
        <f t="shared" si="19"/>
        <v>2250.0000000000005</v>
      </c>
      <c r="AD96" s="152">
        <f ca="1">((Main!$C$4-E96)*(200000*(H96/100))/360)*0.025</f>
        <v>159.93055555555557</v>
      </c>
      <c r="AE96" s="152">
        <f t="shared" ca="1" si="20"/>
        <v>2409.9305555555561</v>
      </c>
      <c r="AF96" s="153">
        <f t="shared" ca="1" si="21"/>
        <v>8850.4699652777799</v>
      </c>
      <c r="AH96" s="67">
        <f t="shared" si="26"/>
        <v>1.1596500000000001E-2</v>
      </c>
      <c r="AI96" s="151">
        <f t="shared" si="22"/>
        <v>2319.3000000000002</v>
      </c>
      <c r="AJ96">
        <f ca="1">((Main!$C$4-E96)*(200000*(H96/100))/360)*0.02577</f>
        <v>164.85641666666669</v>
      </c>
      <c r="AK96" s="152">
        <f t="shared" ca="1" si="23"/>
        <v>2484.1564166666667</v>
      </c>
      <c r="AL96" s="153">
        <f t="shared" ca="1" si="24"/>
        <v>9123.0644402083326</v>
      </c>
    </row>
    <row r="97" spans="1:38" ht="12.75" customHeight="1" x14ac:dyDescent="0.35">
      <c r="A97" s="46" t="s">
        <v>784</v>
      </c>
      <c r="B97" s="38" t="s">
        <v>127</v>
      </c>
      <c r="C97" s="46" t="s">
        <v>784</v>
      </c>
      <c r="D97" s="22" t="s">
        <v>128</v>
      </c>
      <c r="E97" s="75">
        <f t="shared" si="16"/>
        <v>46024</v>
      </c>
      <c r="F97" s="75" t="s">
        <v>593</v>
      </c>
      <c r="G97" s="74">
        <f t="shared" si="17"/>
        <v>46389</v>
      </c>
      <c r="H97" s="19">
        <v>7.75</v>
      </c>
      <c r="I97" s="71" t="s">
        <v>19</v>
      </c>
      <c r="J97" s="2" t="s">
        <v>4</v>
      </c>
      <c r="K97" s="2" t="s">
        <v>749</v>
      </c>
      <c r="L97" s="2" t="s">
        <v>5</v>
      </c>
      <c r="M97" s="3">
        <v>0.51</v>
      </c>
      <c r="N97" s="3"/>
      <c r="O97" s="3">
        <v>0.49</v>
      </c>
      <c r="P97" s="69">
        <f t="shared" si="27"/>
        <v>0.51</v>
      </c>
      <c r="Q97" s="85">
        <f t="shared" si="28"/>
        <v>0.49</v>
      </c>
      <c r="R97" s="67">
        <v>0.45</v>
      </c>
      <c r="S97" s="67"/>
      <c r="T97" s="40" t="s">
        <v>548</v>
      </c>
      <c r="U97" s="87" t="s">
        <v>928</v>
      </c>
      <c r="V97" s="137" t="s">
        <v>929</v>
      </c>
      <c r="W97" s="46" t="s">
        <v>784</v>
      </c>
      <c r="Z97" t="b">
        <f t="shared" si="18"/>
        <v>1</v>
      </c>
      <c r="AA97" s="46" t="s">
        <v>784</v>
      </c>
      <c r="AB97" s="67">
        <f t="shared" si="25"/>
        <v>1.1250000000000001E-2</v>
      </c>
      <c r="AC97" s="151">
        <f t="shared" si="19"/>
        <v>2250.0000000000005</v>
      </c>
      <c r="AD97" s="152">
        <f ca="1">((Main!$C$4-E97)*(200000*(H97/100))/360)*0.025</f>
        <v>50.590277777777779</v>
      </c>
      <c r="AE97" s="152">
        <f t="shared" ca="1" si="20"/>
        <v>2300.5902777777783</v>
      </c>
      <c r="AF97" s="153">
        <f t="shared" ca="1" si="21"/>
        <v>8448.9177951388901</v>
      </c>
      <c r="AH97" s="67">
        <f t="shared" si="26"/>
        <v>1.1596500000000001E-2</v>
      </c>
      <c r="AI97" s="151">
        <f t="shared" si="22"/>
        <v>2319.3000000000002</v>
      </c>
      <c r="AJ97">
        <f ca="1">((Main!$C$4-E97)*(200000*(H97/100))/360)*0.02577</f>
        <v>52.148458333333338</v>
      </c>
      <c r="AK97" s="152">
        <f t="shared" ca="1" si="23"/>
        <v>2371.4484583333333</v>
      </c>
      <c r="AL97" s="153">
        <f t="shared" ca="1" si="24"/>
        <v>8709.1444632291659</v>
      </c>
    </row>
    <row r="98" spans="1:38" ht="12.75" customHeight="1" x14ac:dyDescent="0.35">
      <c r="A98" s="46" t="s">
        <v>319</v>
      </c>
      <c r="B98" s="38" t="s">
        <v>320</v>
      </c>
      <c r="C98" s="46" t="s">
        <v>319</v>
      </c>
      <c r="D98" s="22" t="s">
        <v>321</v>
      </c>
      <c r="E98" s="75">
        <f t="shared" si="16"/>
        <v>46039</v>
      </c>
      <c r="F98" s="75" t="s">
        <v>613</v>
      </c>
      <c r="G98" s="74">
        <f t="shared" si="17"/>
        <v>46404</v>
      </c>
      <c r="H98" s="19">
        <v>5.0110000000000001</v>
      </c>
      <c r="I98" s="71" t="s">
        <v>19</v>
      </c>
      <c r="J98" s="2" t="s">
        <v>54</v>
      </c>
      <c r="K98" s="2" t="s">
        <v>760</v>
      </c>
      <c r="L98" s="1" t="s">
        <v>318</v>
      </c>
      <c r="M98" s="3">
        <v>0.51</v>
      </c>
      <c r="N98" s="3"/>
      <c r="O98" s="3">
        <v>0.49</v>
      </c>
      <c r="P98" s="3">
        <f t="shared" si="27"/>
        <v>0.51</v>
      </c>
      <c r="Q98" s="84"/>
      <c r="R98" s="67">
        <v>0.49</v>
      </c>
      <c r="S98" s="67"/>
      <c r="T98" s="40" t="s">
        <v>548</v>
      </c>
      <c r="U98" s="87" t="s">
        <v>946</v>
      </c>
      <c r="V98" s="137" t="s">
        <v>947</v>
      </c>
      <c r="W98" s="46" t="s">
        <v>319</v>
      </c>
      <c r="Z98" t="b">
        <f t="shared" si="18"/>
        <v>1</v>
      </c>
      <c r="AA98" s="46" t="s">
        <v>319</v>
      </c>
      <c r="AB98" s="67">
        <f t="shared" si="25"/>
        <v>1.225E-2</v>
      </c>
      <c r="AC98" s="151">
        <f t="shared" si="19"/>
        <v>2450</v>
      </c>
      <c r="AD98" s="152">
        <f ca="1">((Main!$C$4-E98)*(200000*(H98/100))/360)*0.025</f>
        <v>22.271111111111111</v>
      </c>
      <c r="AE98" s="152">
        <f t="shared" ca="1" si="20"/>
        <v>2472.2711111111112</v>
      </c>
      <c r="AF98" s="153">
        <f t="shared" ca="1" si="21"/>
        <v>9079.4156555555546</v>
      </c>
      <c r="AH98" s="67">
        <f t="shared" si="26"/>
        <v>1.2627300000000001E-2</v>
      </c>
      <c r="AI98" s="151">
        <f t="shared" si="22"/>
        <v>2525.46</v>
      </c>
      <c r="AJ98">
        <f ca="1">((Main!$C$4-E98)*(200000*(H98/100))/360)*0.02577</f>
        <v>22.957061333333336</v>
      </c>
      <c r="AK98" s="152">
        <f t="shared" ca="1" si="23"/>
        <v>2548.4170613333335</v>
      </c>
      <c r="AL98" s="153">
        <f t="shared" ca="1" si="24"/>
        <v>9359.0616577466662</v>
      </c>
    </row>
    <row r="99" spans="1:38" ht="12.75" customHeight="1" x14ac:dyDescent="0.35">
      <c r="A99" s="46" t="s">
        <v>713</v>
      </c>
      <c r="B99" s="38" t="s">
        <v>312</v>
      </c>
      <c r="C99" s="46" t="s">
        <v>713</v>
      </c>
      <c r="D99" s="22" t="s">
        <v>313</v>
      </c>
      <c r="E99" s="75">
        <f t="shared" si="16"/>
        <v>46021</v>
      </c>
      <c r="F99" s="75" t="s">
        <v>630</v>
      </c>
      <c r="G99" s="74">
        <f t="shared" si="17"/>
        <v>46386</v>
      </c>
      <c r="H99" s="19">
        <v>3.6</v>
      </c>
      <c r="I99" s="71" t="s">
        <v>19</v>
      </c>
      <c r="J99" s="2" t="s">
        <v>11</v>
      </c>
      <c r="K99" s="2" t="s">
        <v>751</v>
      </c>
      <c r="L99" s="2" t="s">
        <v>12</v>
      </c>
      <c r="M99" s="3">
        <v>1</v>
      </c>
      <c r="N99" s="3"/>
      <c r="O99" s="3">
        <v>0</v>
      </c>
      <c r="P99" s="69">
        <v>0</v>
      </c>
      <c r="Q99" s="85"/>
      <c r="R99" s="67">
        <v>1</v>
      </c>
      <c r="S99" s="67"/>
      <c r="T99" s="40"/>
      <c r="U99" s="87" t="s">
        <v>937</v>
      </c>
      <c r="V99" s="141" t="s">
        <v>936</v>
      </c>
      <c r="W99" s="46" t="s">
        <v>713</v>
      </c>
      <c r="Z99" t="b">
        <f t="shared" si="18"/>
        <v>1</v>
      </c>
      <c r="AA99" s="46" t="s">
        <v>713</v>
      </c>
      <c r="AB99" s="67">
        <f t="shared" si="25"/>
        <v>2.5000000000000001E-2</v>
      </c>
      <c r="AC99" s="151">
        <f t="shared" si="19"/>
        <v>5000</v>
      </c>
      <c r="AD99" s="152">
        <f ca="1">((Main!$C$4-E99)*(200000*(H99/100))/360)*0.025</f>
        <v>25.000000000000004</v>
      </c>
      <c r="AE99" s="152">
        <f t="shared" ca="1" si="20"/>
        <v>5025</v>
      </c>
      <c r="AF99" s="153">
        <f t="shared" ca="1" si="21"/>
        <v>18454.3125</v>
      </c>
      <c r="AH99" s="67">
        <f t="shared" si="26"/>
        <v>2.5770000000000001E-2</v>
      </c>
      <c r="AI99" s="151">
        <f t="shared" si="22"/>
        <v>5154</v>
      </c>
      <c r="AJ99">
        <f ca="1">((Main!$C$4-E99)*(200000*(H99/100))/360)*0.02577</f>
        <v>25.770000000000003</v>
      </c>
      <c r="AK99" s="152">
        <f t="shared" ca="1" si="23"/>
        <v>5179.7700000000004</v>
      </c>
      <c r="AL99" s="153">
        <f t="shared" ca="1" si="24"/>
        <v>19022.705325000003</v>
      </c>
    </row>
    <row r="100" spans="1:38" ht="12.75" customHeight="1" x14ac:dyDescent="0.35">
      <c r="A100" s="46" t="s">
        <v>714</v>
      </c>
      <c r="B100" s="38" t="s">
        <v>314</v>
      </c>
      <c r="C100" s="46" t="s">
        <v>714</v>
      </c>
      <c r="D100" s="22" t="s">
        <v>315</v>
      </c>
      <c r="E100" s="75">
        <f t="shared" si="16"/>
        <v>46036</v>
      </c>
      <c r="F100" s="75" t="s">
        <v>605</v>
      </c>
      <c r="G100" s="74">
        <f t="shared" si="17"/>
        <v>46401</v>
      </c>
      <c r="H100" s="19">
        <v>5.3760000000000003</v>
      </c>
      <c r="I100" s="71" t="s">
        <v>19</v>
      </c>
      <c r="J100" s="2" t="s">
        <v>11</v>
      </c>
      <c r="K100" s="2" t="s">
        <v>751</v>
      </c>
      <c r="L100" s="2" t="s">
        <v>12</v>
      </c>
      <c r="M100" s="3">
        <v>1</v>
      </c>
      <c r="N100" s="3"/>
      <c r="O100" s="3">
        <v>0</v>
      </c>
      <c r="P100" s="69">
        <v>0</v>
      </c>
      <c r="Q100" s="85"/>
      <c r="R100" s="67">
        <v>1</v>
      </c>
      <c r="S100" s="67"/>
      <c r="T100" s="40"/>
      <c r="U100" s="87" t="s">
        <v>937</v>
      </c>
      <c r="V100" s="141" t="s">
        <v>936</v>
      </c>
      <c r="W100" s="46" t="s">
        <v>714</v>
      </c>
      <c r="Z100" t="b">
        <f t="shared" si="18"/>
        <v>1</v>
      </c>
      <c r="AA100" s="46" t="s">
        <v>714</v>
      </c>
      <c r="AB100" s="67">
        <f t="shared" si="25"/>
        <v>2.5000000000000001E-2</v>
      </c>
      <c r="AC100" s="151">
        <f t="shared" si="19"/>
        <v>5000</v>
      </c>
      <c r="AD100" s="152">
        <f ca="1">((Main!$C$4-E100)*(200000*(H100/100))/360)*0.025</f>
        <v>26.133333333333333</v>
      </c>
      <c r="AE100" s="152">
        <f t="shared" ca="1" si="20"/>
        <v>5026.1333333333332</v>
      </c>
      <c r="AF100" s="153">
        <f t="shared" ca="1" si="21"/>
        <v>18458.474666666665</v>
      </c>
      <c r="AH100" s="67">
        <f t="shared" si="26"/>
        <v>2.5770000000000001E-2</v>
      </c>
      <c r="AI100" s="151">
        <f t="shared" si="22"/>
        <v>5154</v>
      </c>
      <c r="AJ100">
        <f ca="1">((Main!$C$4-E100)*(200000*(H100/100))/360)*0.02577</f>
        <v>26.93824</v>
      </c>
      <c r="AK100" s="152">
        <f t="shared" ca="1" si="23"/>
        <v>5180.9382400000004</v>
      </c>
      <c r="AL100" s="153">
        <f t="shared" ca="1" si="24"/>
        <v>19026.995686400001</v>
      </c>
    </row>
    <row r="101" spans="1:38" ht="12.75" customHeight="1" x14ac:dyDescent="0.35">
      <c r="A101" s="46" t="s">
        <v>785</v>
      </c>
      <c r="B101" s="38" t="s">
        <v>316</v>
      </c>
      <c r="C101" s="46" t="s">
        <v>785</v>
      </c>
      <c r="D101" s="22" t="s">
        <v>317</v>
      </c>
      <c r="E101" s="75">
        <f t="shared" si="16"/>
        <v>45981</v>
      </c>
      <c r="F101" s="75" t="s">
        <v>614</v>
      </c>
      <c r="G101" s="74">
        <f t="shared" si="17"/>
        <v>46346</v>
      </c>
      <c r="H101" s="19">
        <v>6.25</v>
      </c>
      <c r="I101" s="71" t="s">
        <v>19</v>
      </c>
      <c r="J101" s="2" t="s">
        <v>54</v>
      </c>
      <c r="K101" s="2" t="s">
        <v>760</v>
      </c>
      <c r="L101" s="1" t="s">
        <v>318</v>
      </c>
      <c r="M101" s="3">
        <v>0.51</v>
      </c>
      <c r="N101" s="3"/>
      <c r="O101" s="3">
        <v>0.49</v>
      </c>
      <c r="P101" s="3">
        <f>M101</f>
        <v>0.51</v>
      </c>
      <c r="Q101" s="84"/>
      <c r="R101" s="67">
        <v>0.49</v>
      </c>
      <c r="S101" s="67"/>
      <c r="T101" s="40" t="s">
        <v>548</v>
      </c>
      <c r="U101" s="87" t="s">
        <v>946</v>
      </c>
      <c r="V101" s="137" t="s">
        <v>947</v>
      </c>
      <c r="W101" s="46" t="s">
        <v>785</v>
      </c>
      <c r="Z101" t="b">
        <f t="shared" si="18"/>
        <v>1</v>
      </c>
      <c r="AA101" s="46" t="s">
        <v>785</v>
      </c>
      <c r="AB101" s="67">
        <f t="shared" si="25"/>
        <v>1.225E-2</v>
      </c>
      <c r="AC101" s="151">
        <f t="shared" si="19"/>
        <v>2450</v>
      </c>
      <c r="AD101" s="152">
        <f ca="1">((Main!$C$4-E101)*(200000*(H101/100))/360)*0.025</f>
        <v>78.125</v>
      </c>
      <c r="AE101" s="152">
        <f t="shared" ca="1" si="20"/>
        <v>2528.125</v>
      </c>
      <c r="AF101" s="153">
        <f t="shared" ca="1" si="21"/>
        <v>9284.5390625</v>
      </c>
      <c r="AH101" s="67">
        <f t="shared" si="26"/>
        <v>1.2627300000000001E-2</v>
      </c>
      <c r="AI101" s="151">
        <f t="shared" si="22"/>
        <v>2525.46</v>
      </c>
      <c r="AJ101">
        <f ca="1">((Main!$C$4-E101)*(200000*(H101/100))/360)*0.02577</f>
        <v>80.53125</v>
      </c>
      <c r="AK101" s="152">
        <f t="shared" ca="1" si="23"/>
        <v>2605.99125</v>
      </c>
      <c r="AL101" s="153">
        <f t="shared" ca="1" si="24"/>
        <v>9570.5028656249997</v>
      </c>
    </row>
    <row r="102" spans="1:38" ht="12.75" customHeight="1" x14ac:dyDescent="0.35">
      <c r="A102" s="46" t="s">
        <v>786</v>
      </c>
      <c r="B102" s="38" t="s">
        <v>322</v>
      </c>
      <c r="C102" s="46" t="s">
        <v>786</v>
      </c>
      <c r="D102" s="22" t="s">
        <v>323</v>
      </c>
      <c r="E102" s="75">
        <f t="shared" si="16"/>
        <v>46007</v>
      </c>
      <c r="F102" s="75" t="s">
        <v>615</v>
      </c>
      <c r="G102" s="74">
        <f t="shared" si="17"/>
        <v>46372</v>
      </c>
      <c r="H102" s="19">
        <v>6.125</v>
      </c>
      <c r="I102" s="71" t="s">
        <v>19</v>
      </c>
      <c r="J102" s="2" t="s">
        <v>54</v>
      </c>
      <c r="K102" s="2" t="s">
        <v>760</v>
      </c>
      <c r="L102" s="1" t="s">
        <v>318</v>
      </c>
      <c r="M102" s="3">
        <v>0.51</v>
      </c>
      <c r="N102" s="3"/>
      <c r="O102" s="3">
        <v>0.49</v>
      </c>
      <c r="P102" s="3">
        <f>M102</f>
        <v>0.51</v>
      </c>
      <c r="Q102" s="84"/>
      <c r="R102" s="67">
        <v>0.49</v>
      </c>
      <c r="S102" s="67"/>
      <c r="T102" s="40" t="s">
        <v>548</v>
      </c>
      <c r="U102" s="87" t="s">
        <v>946</v>
      </c>
      <c r="V102" s="137" t="s">
        <v>947</v>
      </c>
      <c r="W102" s="46" t="s">
        <v>786</v>
      </c>
      <c r="Z102" t="b">
        <f t="shared" si="18"/>
        <v>1</v>
      </c>
      <c r="AA102" s="46" t="s">
        <v>786</v>
      </c>
      <c r="AB102" s="67">
        <f t="shared" si="25"/>
        <v>1.225E-2</v>
      </c>
      <c r="AC102" s="151">
        <f t="shared" si="19"/>
        <v>2450</v>
      </c>
      <c r="AD102" s="152">
        <f ca="1">((Main!$C$4-E102)*(200000*(H102/100))/360)*0.025</f>
        <v>54.44444444444445</v>
      </c>
      <c r="AE102" s="152">
        <f t="shared" ca="1" si="20"/>
        <v>2504.4444444444443</v>
      </c>
      <c r="AF102" s="153">
        <f t="shared" ca="1" si="21"/>
        <v>9197.5722222222212</v>
      </c>
      <c r="AH102" s="67">
        <f t="shared" si="26"/>
        <v>1.2627300000000001E-2</v>
      </c>
      <c r="AI102" s="151">
        <f t="shared" si="22"/>
        <v>2525.46</v>
      </c>
      <c r="AJ102">
        <f ca="1">((Main!$C$4-E102)*(200000*(H102/100))/360)*0.02577</f>
        <v>56.12133333333334</v>
      </c>
      <c r="AK102" s="152">
        <f t="shared" ca="1" si="23"/>
        <v>2581.5813333333335</v>
      </c>
      <c r="AL102" s="153">
        <f t="shared" ca="1" si="24"/>
        <v>9480.8574466666669</v>
      </c>
    </row>
    <row r="103" spans="1:38" ht="12.75" customHeight="1" x14ac:dyDescent="0.35">
      <c r="A103" s="46" t="s">
        <v>787</v>
      </c>
      <c r="B103" s="38" t="s">
        <v>324</v>
      </c>
      <c r="C103" s="46" t="s">
        <v>787</v>
      </c>
      <c r="D103" s="22" t="s">
        <v>325</v>
      </c>
      <c r="E103" s="75">
        <f t="shared" si="16"/>
        <v>45962</v>
      </c>
      <c r="F103" s="75" t="s">
        <v>633</v>
      </c>
      <c r="G103" s="74">
        <f t="shared" si="17"/>
        <v>46327</v>
      </c>
      <c r="H103" s="19">
        <v>6.625</v>
      </c>
      <c r="I103" s="71" t="s">
        <v>19</v>
      </c>
      <c r="J103" s="2" t="s">
        <v>11</v>
      </c>
      <c r="K103" s="2" t="s">
        <v>751</v>
      </c>
      <c r="L103" s="2" t="s">
        <v>12</v>
      </c>
      <c r="M103" s="3">
        <v>1</v>
      </c>
      <c r="N103" s="3"/>
      <c r="O103" s="3">
        <v>0</v>
      </c>
      <c r="P103" s="69">
        <v>0</v>
      </c>
      <c r="Q103" s="85"/>
      <c r="R103" s="67">
        <v>1</v>
      </c>
      <c r="S103" s="67"/>
      <c r="T103" s="40"/>
      <c r="U103" s="87" t="s">
        <v>937</v>
      </c>
      <c r="V103" s="141" t="s">
        <v>936</v>
      </c>
      <c r="W103" s="46" t="s">
        <v>787</v>
      </c>
      <c r="Z103" t="b">
        <f t="shared" si="18"/>
        <v>1</v>
      </c>
      <c r="AA103" s="46" t="s">
        <v>787</v>
      </c>
      <c r="AB103" s="67">
        <f t="shared" si="25"/>
        <v>2.5000000000000001E-2</v>
      </c>
      <c r="AC103" s="151">
        <f t="shared" si="19"/>
        <v>5000</v>
      </c>
      <c r="AD103" s="152">
        <f ca="1">((Main!$C$4-E103)*(200000*(H103/100))/360)*0.025</f>
        <v>100.2951388888889</v>
      </c>
      <c r="AE103" s="152">
        <f t="shared" ca="1" si="20"/>
        <v>5100.2951388888887</v>
      </c>
      <c r="AF103" s="153">
        <f t="shared" ca="1" si="21"/>
        <v>18730.833897569442</v>
      </c>
      <c r="AH103" s="67">
        <f t="shared" si="26"/>
        <v>2.5770000000000001E-2</v>
      </c>
      <c r="AI103" s="151">
        <f t="shared" si="22"/>
        <v>5154</v>
      </c>
      <c r="AJ103">
        <f ca="1">((Main!$C$4-E103)*(200000*(H103/100))/360)*0.02577</f>
        <v>103.38422916666667</v>
      </c>
      <c r="AK103" s="152">
        <f t="shared" ca="1" si="23"/>
        <v>5257.384229166667</v>
      </c>
      <c r="AL103" s="153">
        <f t="shared" ca="1" si="24"/>
        <v>19307.743581614584</v>
      </c>
    </row>
    <row r="104" spans="1:38" ht="12.75" customHeight="1" x14ac:dyDescent="0.35">
      <c r="A104" s="52" t="s">
        <v>788</v>
      </c>
      <c r="B104" s="41" t="s">
        <v>341</v>
      </c>
      <c r="C104" s="52" t="s">
        <v>788</v>
      </c>
      <c r="D104" s="42" t="s">
        <v>342</v>
      </c>
      <c r="E104" s="75">
        <f t="shared" si="16"/>
        <v>45897</v>
      </c>
      <c r="F104" s="75" t="s">
        <v>588</v>
      </c>
      <c r="G104" s="74">
        <f t="shared" si="17"/>
        <v>46262</v>
      </c>
      <c r="H104" s="19">
        <v>3.9325000000000001</v>
      </c>
      <c r="I104" s="71" t="s">
        <v>19</v>
      </c>
      <c r="J104" s="60" t="s">
        <v>943</v>
      </c>
      <c r="K104" s="43" t="s">
        <v>755</v>
      </c>
      <c r="L104" s="43" t="s">
        <v>343</v>
      </c>
      <c r="M104" s="44">
        <v>0.34</v>
      </c>
      <c r="N104" s="44"/>
      <c r="O104" s="44">
        <v>0.66</v>
      </c>
      <c r="P104" s="69">
        <f t="shared" ref="P104:P112" si="29">M104</f>
        <v>0.34</v>
      </c>
      <c r="Q104" s="85"/>
      <c r="R104" s="67">
        <v>0.66</v>
      </c>
      <c r="S104" s="67"/>
      <c r="T104" s="45" t="s">
        <v>548</v>
      </c>
      <c r="U104" s="87" t="s">
        <v>944</v>
      </c>
      <c r="V104" s="141" t="s">
        <v>945</v>
      </c>
      <c r="W104" s="52" t="s">
        <v>788</v>
      </c>
      <c r="Z104" t="b">
        <f t="shared" si="18"/>
        <v>1</v>
      </c>
      <c r="AA104" s="52" t="s">
        <v>788</v>
      </c>
      <c r="AB104" s="67">
        <f t="shared" si="25"/>
        <v>1.6500000000000001E-2</v>
      </c>
      <c r="AC104" s="151">
        <f t="shared" si="19"/>
        <v>3300</v>
      </c>
      <c r="AD104" s="152">
        <f ca="1">((Main!$C$4-E104)*(200000*(H104/100))/360)*0.025</f>
        <v>95.035416666666663</v>
      </c>
      <c r="AE104" s="152">
        <f t="shared" ca="1" si="20"/>
        <v>3395.0354166666666</v>
      </c>
      <c r="AF104" s="153">
        <f t="shared" ca="1" si="21"/>
        <v>12468.267567708333</v>
      </c>
      <c r="AH104" s="67">
        <f t="shared" si="26"/>
        <v>1.7008200000000001E-2</v>
      </c>
      <c r="AI104" s="151">
        <f t="shared" si="22"/>
        <v>3401.6400000000003</v>
      </c>
      <c r="AJ104">
        <f ca="1">((Main!$C$4-E104)*(200000*(H104/100))/360)*0.02577</f>
        <v>97.962507500000001</v>
      </c>
      <c r="AK104" s="152">
        <f t="shared" ca="1" si="23"/>
        <v>3499.6025075000002</v>
      </c>
      <c r="AL104" s="153">
        <f t="shared" ca="1" si="24"/>
        <v>12852.290208793751</v>
      </c>
    </row>
    <row r="105" spans="1:38" ht="12.75" customHeight="1" x14ac:dyDescent="0.35">
      <c r="A105" s="52" t="s">
        <v>789</v>
      </c>
      <c r="B105" s="41" t="s">
        <v>344</v>
      </c>
      <c r="C105" s="52" t="s">
        <v>789</v>
      </c>
      <c r="D105" s="42" t="s">
        <v>345</v>
      </c>
      <c r="E105" s="75">
        <f t="shared" si="16"/>
        <v>45975</v>
      </c>
      <c r="F105" s="75" t="s">
        <v>634</v>
      </c>
      <c r="G105" s="74">
        <f t="shared" si="17"/>
        <v>46340</v>
      </c>
      <c r="H105" s="19">
        <v>4.6379999999999999</v>
      </c>
      <c r="I105" s="71" t="s">
        <v>19</v>
      </c>
      <c r="J105" s="60" t="s">
        <v>943</v>
      </c>
      <c r="K105" s="43" t="s">
        <v>756</v>
      </c>
      <c r="L105" s="43" t="s">
        <v>343</v>
      </c>
      <c r="M105" s="44">
        <v>0.34</v>
      </c>
      <c r="N105" s="44"/>
      <c r="O105" s="44">
        <v>0.66</v>
      </c>
      <c r="P105" s="69">
        <f t="shared" si="29"/>
        <v>0.34</v>
      </c>
      <c r="Q105" s="85"/>
      <c r="R105" s="67">
        <v>0.66</v>
      </c>
      <c r="S105" s="67"/>
      <c r="T105" s="45" t="s">
        <v>548</v>
      </c>
      <c r="U105" s="87" t="s">
        <v>944</v>
      </c>
      <c r="V105" s="141" t="s">
        <v>945</v>
      </c>
      <c r="W105" s="52" t="s">
        <v>789</v>
      </c>
      <c r="Z105" t="b">
        <f t="shared" si="18"/>
        <v>1</v>
      </c>
      <c r="AA105" s="52" t="s">
        <v>789</v>
      </c>
      <c r="AB105" s="67">
        <f t="shared" si="25"/>
        <v>1.6500000000000001E-2</v>
      </c>
      <c r="AC105" s="151">
        <f t="shared" si="19"/>
        <v>3300</v>
      </c>
      <c r="AD105" s="152">
        <f ca="1">((Main!$C$4-E105)*(200000*(H105/100))/360)*0.025</f>
        <v>61.84</v>
      </c>
      <c r="AE105" s="152">
        <f t="shared" ca="1" si="20"/>
        <v>3361.84</v>
      </c>
      <c r="AF105" s="153">
        <f t="shared" ca="1" si="21"/>
        <v>12346.357400000001</v>
      </c>
      <c r="AH105" s="67">
        <f t="shared" si="26"/>
        <v>1.7008200000000001E-2</v>
      </c>
      <c r="AI105" s="151">
        <f t="shared" si="22"/>
        <v>3401.6400000000003</v>
      </c>
      <c r="AJ105">
        <f ca="1">((Main!$C$4-E105)*(200000*(H105/100))/360)*0.02577</f>
        <v>63.744672000000001</v>
      </c>
      <c r="AK105" s="152">
        <f t="shared" ca="1" si="23"/>
        <v>3465.3846720000001</v>
      </c>
      <c r="AL105" s="153">
        <f t="shared" ca="1" si="24"/>
        <v>12726.62520792</v>
      </c>
    </row>
    <row r="106" spans="1:38" ht="12.75" customHeight="1" x14ac:dyDescent="0.35">
      <c r="A106" s="46" t="s">
        <v>790</v>
      </c>
      <c r="B106" s="38" t="s">
        <v>346</v>
      </c>
      <c r="C106" s="46" t="s">
        <v>790</v>
      </c>
      <c r="D106" s="22" t="s">
        <v>347</v>
      </c>
      <c r="E106" s="75">
        <f t="shared" si="16"/>
        <v>45952</v>
      </c>
      <c r="F106" s="75" t="s">
        <v>584</v>
      </c>
      <c r="G106" s="74">
        <f t="shared" si="17"/>
        <v>46317</v>
      </c>
      <c r="H106" s="19">
        <v>4.875</v>
      </c>
      <c r="I106" s="71" t="s">
        <v>19</v>
      </c>
      <c r="J106" s="2" t="s">
        <v>54</v>
      </c>
      <c r="K106" s="2" t="s">
        <v>760</v>
      </c>
      <c r="L106" s="2" t="s">
        <v>343</v>
      </c>
      <c r="M106" s="3">
        <v>0.51</v>
      </c>
      <c r="N106" s="3"/>
      <c r="O106" s="3">
        <v>0.49</v>
      </c>
      <c r="P106" s="3">
        <f t="shared" si="29"/>
        <v>0.51</v>
      </c>
      <c r="Q106" s="84"/>
      <c r="R106" s="67">
        <v>0.49</v>
      </c>
      <c r="S106" s="67"/>
      <c r="T106" s="40" t="s">
        <v>548</v>
      </c>
      <c r="U106" s="87" t="s">
        <v>946</v>
      </c>
      <c r="V106" s="137" t="s">
        <v>947</v>
      </c>
      <c r="W106" s="46" t="s">
        <v>790</v>
      </c>
      <c r="Z106" t="b">
        <f t="shared" si="18"/>
        <v>1</v>
      </c>
      <c r="AA106" s="46" t="s">
        <v>790</v>
      </c>
      <c r="AB106" s="67">
        <f t="shared" si="25"/>
        <v>1.225E-2</v>
      </c>
      <c r="AC106" s="151">
        <f t="shared" si="19"/>
        <v>2450</v>
      </c>
      <c r="AD106" s="152">
        <f ca="1">((Main!$C$4-E106)*(200000*(H106/100))/360)*0.025</f>
        <v>80.572916666666671</v>
      </c>
      <c r="AE106" s="152">
        <f t="shared" ca="1" si="20"/>
        <v>2530.5729166666665</v>
      </c>
      <c r="AF106" s="153">
        <f t="shared" ca="1" si="21"/>
        <v>9293.5290364583325</v>
      </c>
      <c r="AH106" s="67">
        <f t="shared" si="26"/>
        <v>1.2627300000000001E-2</v>
      </c>
      <c r="AI106" s="151">
        <f t="shared" si="22"/>
        <v>2525.46</v>
      </c>
      <c r="AJ106">
        <f ca="1">((Main!$C$4-E106)*(200000*(H106/100))/360)*0.02577</f>
        <v>83.054562500000003</v>
      </c>
      <c r="AK106" s="152">
        <f t="shared" ca="1" si="23"/>
        <v>2608.5145625</v>
      </c>
      <c r="AL106" s="153">
        <f t="shared" ca="1" si="24"/>
        <v>9579.7697307812505</v>
      </c>
    </row>
    <row r="107" spans="1:38" ht="12.75" customHeight="1" x14ac:dyDescent="0.35">
      <c r="A107" s="46" t="s">
        <v>791</v>
      </c>
      <c r="B107" s="38" t="s">
        <v>348</v>
      </c>
      <c r="C107" s="46" t="s">
        <v>791</v>
      </c>
      <c r="D107" s="22" t="s">
        <v>349</v>
      </c>
      <c r="E107" s="75">
        <f t="shared" si="16"/>
        <v>45992</v>
      </c>
      <c r="F107" s="75" t="s">
        <v>642</v>
      </c>
      <c r="G107" s="74">
        <f t="shared" si="17"/>
        <v>46357</v>
      </c>
      <c r="H107" s="19">
        <v>5</v>
      </c>
      <c r="I107" s="71" t="s">
        <v>19</v>
      </c>
      <c r="J107" s="2" t="s">
        <v>54</v>
      </c>
      <c r="K107" s="2" t="s">
        <v>760</v>
      </c>
      <c r="L107" s="2" t="s">
        <v>343</v>
      </c>
      <c r="M107" s="3">
        <v>0.51</v>
      </c>
      <c r="N107" s="3"/>
      <c r="O107" s="3">
        <v>0.49</v>
      </c>
      <c r="P107" s="3">
        <f t="shared" si="29"/>
        <v>0.51</v>
      </c>
      <c r="Q107" s="84"/>
      <c r="R107" s="67">
        <v>0.49</v>
      </c>
      <c r="S107" s="67"/>
      <c r="T107" s="40" t="s">
        <v>548</v>
      </c>
      <c r="U107" s="87" t="s">
        <v>946</v>
      </c>
      <c r="V107" s="137" t="s">
        <v>947</v>
      </c>
      <c r="W107" s="46" t="s">
        <v>791</v>
      </c>
      <c r="Z107" t="b">
        <f t="shared" si="18"/>
        <v>1</v>
      </c>
      <c r="AA107" s="46" t="s">
        <v>791</v>
      </c>
      <c r="AB107" s="67">
        <f t="shared" si="25"/>
        <v>1.225E-2</v>
      </c>
      <c r="AC107" s="151">
        <f t="shared" si="19"/>
        <v>2450</v>
      </c>
      <c r="AD107" s="152">
        <f ca="1">((Main!$C$4-E107)*(200000*(H107/100))/360)*0.025</f>
        <v>54.861111111111114</v>
      </c>
      <c r="AE107" s="152">
        <f t="shared" ca="1" si="20"/>
        <v>2504.8611111111113</v>
      </c>
      <c r="AF107" s="153">
        <f t="shared" ca="1" si="21"/>
        <v>9199.1024305555566</v>
      </c>
      <c r="AH107" s="67">
        <f t="shared" si="26"/>
        <v>1.2627300000000001E-2</v>
      </c>
      <c r="AI107" s="151">
        <f t="shared" si="22"/>
        <v>2525.46</v>
      </c>
      <c r="AJ107">
        <f ca="1">((Main!$C$4-E107)*(200000*(H107/100))/360)*0.02577</f>
        <v>56.550833333333337</v>
      </c>
      <c r="AK107" s="152">
        <f t="shared" ca="1" si="23"/>
        <v>2582.0108333333333</v>
      </c>
      <c r="AL107" s="153">
        <f t="shared" ca="1" si="24"/>
        <v>9482.4347854166663</v>
      </c>
    </row>
    <row r="108" spans="1:38" ht="12.75" customHeight="1" x14ac:dyDescent="0.35">
      <c r="A108" s="46" t="s">
        <v>792</v>
      </c>
      <c r="B108" s="38" t="s">
        <v>339</v>
      </c>
      <c r="C108" s="46" t="s">
        <v>792</v>
      </c>
      <c r="D108" s="22" t="s">
        <v>340</v>
      </c>
      <c r="E108" s="75">
        <f t="shared" si="16"/>
        <v>45990</v>
      </c>
      <c r="F108" s="75" t="s">
        <v>583</v>
      </c>
      <c r="G108" s="74">
        <f t="shared" si="17"/>
        <v>46355</v>
      </c>
      <c r="H108" s="19">
        <f>4+7/8</f>
        <v>4.875</v>
      </c>
      <c r="I108" s="71" t="s">
        <v>19</v>
      </c>
      <c r="J108" s="2" t="s">
        <v>54</v>
      </c>
      <c r="K108" s="2" t="s">
        <v>759</v>
      </c>
      <c r="L108" s="1" t="s">
        <v>338</v>
      </c>
      <c r="M108" s="3">
        <v>0.55000000000000004</v>
      </c>
      <c r="N108" s="3"/>
      <c r="O108" s="3">
        <v>0.45</v>
      </c>
      <c r="P108" s="3">
        <f t="shared" si="29"/>
        <v>0.55000000000000004</v>
      </c>
      <c r="Q108" s="84"/>
      <c r="R108" s="67">
        <v>0.45</v>
      </c>
      <c r="S108" s="67"/>
      <c r="T108" s="40" t="s">
        <v>548</v>
      </c>
      <c r="U108" s="87" t="s">
        <v>946</v>
      </c>
      <c r="V108" s="137" t="s">
        <v>947</v>
      </c>
      <c r="W108" s="46" t="s">
        <v>792</v>
      </c>
      <c r="Z108" t="b">
        <f t="shared" si="18"/>
        <v>1</v>
      </c>
      <c r="AA108" s="46" t="s">
        <v>792</v>
      </c>
      <c r="AB108" s="67">
        <f t="shared" si="25"/>
        <v>1.1250000000000001E-2</v>
      </c>
      <c r="AC108" s="151">
        <f t="shared" si="19"/>
        <v>2250.0000000000005</v>
      </c>
      <c r="AD108" s="152">
        <f ca="1">((Main!$C$4-E108)*(200000*(H108/100))/360)*0.025</f>
        <v>54.84375</v>
      </c>
      <c r="AE108" s="152">
        <f t="shared" ca="1" si="20"/>
        <v>2304.8437500000005</v>
      </c>
      <c r="AF108" s="153">
        <f t="shared" ca="1" si="21"/>
        <v>8464.5386718750015</v>
      </c>
      <c r="AH108" s="67">
        <f t="shared" si="26"/>
        <v>1.1596500000000001E-2</v>
      </c>
      <c r="AI108" s="151">
        <f t="shared" si="22"/>
        <v>2319.3000000000002</v>
      </c>
      <c r="AJ108">
        <f ca="1">((Main!$C$4-E108)*(200000*(H108/100))/360)*0.02577</f>
        <v>56.532937500000003</v>
      </c>
      <c r="AK108" s="152">
        <f t="shared" ca="1" si="23"/>
        <v>2375.8329375000003</v>
      </c>
      <c r="AL108" s="153">
        <f t="shared" ca="1" si="24"/>
        <v>8725.2464629687511</v>
      </c>
    </row>
    <row r="109" spans="1:38" ht="12.75" customHeight="1" x14ac:dyDescent="0.35">
      <c r="A109" s="46" t="s">
        <v>335</v>
      </c>
      <c r="B109" s="38" t="s">
        <v>336</v>
      </c>
      <c r="C109" s="46" t="s">
        <v>335</v>
      </c>
      <c r="D109" s="22" t="s">
        <v>337</v>
      </c>
      <c r="E109" s="75">
        <f t="shared" si="16"/>
        <v>45952</v>
      </c>
      <c r="F109" s="75" t="s">
        <v>584</v>
      </c>
      <c r="G109" s="74">
        <f t="shared" si="17"/>
        <v>46317</v>
      </c>
      <c r="H109" s="19">
        <v>5.03</v>
      </c>
      <c r="I109" s="71" t="s">
        <v>19</v>
      </c>
      <c r="J109" s="2" t="s">
        <v>54</v>
      </c>
      <c r="K109" s="2" t="s">
        <v>759</v>
      </c>
      <c r="L109" s="1" t="s">
        <v>338</v>
      </c>
      <c r="M109" s="3">
        <v>0.55000000000000004</v>
      </c>
      <c r="N109" s="3"/>
      <c r="O109" s="3">
        <v>0.45</v>
      </c>
      <c r="P109" s="3">
        <f t="shared" si="29"/>
        <v>0.55000000000000004</v>
      </c>
      <c r="Q109" s="84"/>
      <c r="R109" s="67">
        <v>0.45</v>
      </c>
      <c r="S109" s="67"/>
      <c r="T109" s="40" t="s">
        <v>548</v>
      </c>
      <c r="U109" s="87" t="s">
        <v>946</v>
      </c>
      <c r="V109" s="137" t="s">
        <v>947</v>
      </c>
      <c r="W109" s="46" t="s">
        <v>335</v>
      </c>
      <c r="Z109" t="b">
        <f t="shared" si="18"/>
        <v>1</v>
      </c>
      <c r="AA109" s="46" t="s">
        <v>335</v>
      </c>
      <c r="AB109" s="67">
        <f t="shared" si="25"/>
        <v>1.1250000000000001E-2</v>
      </c>
      <c r="AC109" s="151">
        <f t="shared" si="19"/>
        <v>2250.0000000000005</v>
      </c>
      <c r="AD109" s="152">
        <f ca="1">((Main!$C$4-E109)*(200000*(H109/100))/360)*0.025</f>
        <v>83.134722222222223</v>
      </c>
      <c r="AE109" s="152">
        <f t="shared" ca="1" si="20"/>
        <v>2333.1347222222225</v>
      </c>
      <c r="AF109" s="153">
        <f t="shared" ca="1" si="21"/>
        <v>8568.4372673611124</v>
      </c>
      <c r="AH109" s="67">
        <f t="shared" si="26"/>
        <v>1.1596500000000001E-2</v>
      </c>
      <c r="AI109" s="151">
        <f t="shared" si="22"/>
        <v>2319.3000000000002</v>
      </c>
      <c r="AJ109">
        <f ca="1">((Main!$C$4-E109)*(200000*(H109/100))/360)*0.02577</f>
        <v>85.69527166666667</v>
      </c>
      <c r="AK109" s="152">
        <f t="shared" ca="1" si="23"/>
        <v>2404.9952716666667</v>
      </c>
      <c r="AL109" s="153">
        <f t="shared" ca="1" si="24"/>
        <v>8832.3451351958338</v>
      </c>
    </row>
    <row r="110" spans="1:38" ht="12.75" customHeight="1" x14ac:dyDescent="0.35">
      <c r="A110" s="46" t="s">
        <v>793</v>
      </c>
      <c r="B110" s="38" t="s">
        <v>355</v>
      </c>
      <c r="C110" s="46" t="s">
        <v>793</v>
      </c>
      <c r="D110" s="22" t="s">
        <v>356</v>
      </c>
      <c r="E110" s="75">
        <f t="shared" si="16"/>
        <v>45969</v>
      </c>
      <c r="F110" s="75" t="s">
        <v>637</v>
      </c>
      <c r="G110" s="74">
        <f t="shared" si="17"/>
        <v>46334</v>
      </c>
      <c r="H110" s="19">
        <v>5.2</v>
      </c>
      <c r="I110" s="71" t="s">
        <v>19</v>
      </c>
      <c r="J110" s="2" t="s">
        <v>8</v>
      </c>
      <c r="K110" s="60" t="s">
        <v>743</v>
      </c>
      <c r="L110" s="27" t="s">
        <v>357</v>
      </c>
      <c r="M110" s="3">
        <v>1</v>
      </c>
      <c r="N110" s="3"/>
      <c r="O110" s="3">
        <v>0</v>
      </c>
      <c r="P110" s="69">
        <f t="shared" si="29"/>
        <v>1</v>
      </c>
      <c r="Q110" s="85"/>
      <c r="R110" s="67">
        <v>0</v>
      </c>
      <c r="S110" s="67"/>
      <c r="T110" s="40" t="s">
        <v>550</v>
      </c>
      <c r="U110" s="87" t="s">
        <v>933</v>
      </c>
      <c r="V110" s="137" t="s">
        <v>927</v>
      </c>
      <c r="W110" s="46" t="s">
        <v>793</v>
      </c>
      <c r="Z110" t="b">
        <f t="shared" si="18"/>
        <v>1</v>
      </c>
      <c r="AA110" s="46" t="s">
        <v>793</v>
      </c>
      <c r="AB110" s="67">
        <f t="shared" si="25"/>
        <v>0</v>
      </c>
      <c r="AC110" s="151">
        <f t="shared" si="19"/>
        <v>0</v>
      </c>
      <c r="AD110" s="152">
        <f ca="1">((Main!$C$4-E110)*(200000*(H110/100))/360)*0.025</f>
        <v>73.666666666666686</v>
      </c>
      <c r="AE110" s="152">
        <f t="shared" ca="1" si="20"/>
        <v>73.666666666666686</v>
      </c>
      <c r="AF110" s="153">
        <f t="shared" ca="1" si="21"/>
        <v>270.54083333333341</v>
      </c>
      <c r="AH110" s="67">
        <f t="shared" si="26"/>
        <v>0</v>
      </c>
      <c r="AI110" s="151">
        <f t="shared" si="22"/>
        <v>0</v>
      </c>
      <c r="AJ110">
        <f ca="1">((Main!$C$4-E110)*(200000*(H110/100))/360)*0.02577</f>
        <v>75.935600000000022</v>
      </c>
      <c r="AK110" s="152">
        <f t="shared" ca="1" si="23"/>
        <v>75.935600000000022</v>
      </c>
      <c r="AL110" s="153">
        <f t="shared" ca="1" si="24"/>
        <v>278.87349100000006</v>
      </c>
    </row>
    <row r="111" spans="1:38" ht="12.75" customHeight="1" x14ac:dyDescent="0.35">
      <c r="A111" s="46" t="s">
        <v>794</v>
      </c>
      <c r="B111" s="38" t="s">
        <v>358</v>
      </c>
      <c r="C111" s="46" t="s">
        <v>794</v>
      </c>
      <c r="D111" s="22" t="s">
        <v>359</v>
      </c>
      <c r="E111" s="75">
        <f t="shared" si="16"/>
        <v>45939</v>
      </c>
      <c r="F111" s="75" t="s">
        <v>570</v>
      </c>
      <c r="G111" s="74">
        <f t="shared" si="17"/>
        <v>46304</v>
      </c>
      <c r="H111" s="19">
        <v>5.25</v>
      </c>
      <c r="I111" s="71" t="s">
        <v>19</v>
      </c>
      <c r="J111" s="2" t="s">
        <v>8</v>
      </c>
      <c r="K111" s="60" t="s">
        <v>744</v>
      </c>
      <c r="L111" s="27" t="s">
        <v>360</v>
      </c>
      <c r="M111" s="3">
        <v>1</v>
      </c>
      <c r="N111" s="3"/>
      <c r="O111" s="3">
        <v>0</v>
      </c>
      <c r="P111" s="69">
        <f t="shared" si="29"/>
        <v>1</v>
      </c>
      <c r="Q111" s="85"/>
      <c r="R111" s="67">
        <v>0</v>
      </c>
      <c r="S111" s="67"/>
      <c r="T111" s="40" t="s">
        <v>550</v>
      </c>
      <c r="U111" s="144" t="s">
        <v>933</v>
      </c>
      <c r="V111" s="145" t="s">
        <v>927</v>
      </c>
      <c r="W111" s="46" t="s">
        <v>794</v>
      </c>
      <c r="Z111" t="b">
        <f t="shared" si="18"/>
        <v>1</v>
      </c>
      <c r="AA111" s="46" t="s">
        <v>794</v>
      </c>
      <c r="AB111" s="67">
        <f t="shared" si="25"/>
        <v>0</v>
      </c>
      <c r="AC111" s="151">
        <f t="shared" si="19"/>
        <v>0</v>
      </c>
      <c r="AD111" s="152">
        <f ca="1">((Main!$C$4-E111)*(200000*(H111/100))/360)*0.025</f>
        <v>96.25</v>
      </c>
      <c r="AE111" s="152">
        <f t="shared" ca="1" si="20"/>
        <v>96.25</v>
      </c>
      <c r="AF111" s="153">
        <f t="shared" ca="1" si="21"/>
        <v>353.47812499999998</v>
      </c>
      <c r="AH111" s="67">
        <f t="shared" si="26"/>
        <v>0</v>
      </c>
      <c r="AI111" s="151">
        <f t="shared" si="22"/>
        <v>0</v>
      </c>
      <c r="AJ111">
        <f ca="1">((Main!$C$4-E111)*(200000*(H111/100))/360)*0.02577</f>
        <v>99.214500000000001</v>
      </c>
      <c r="AK111" s="152">
        <f t="shared" ca="1" si="23"/>
        <v>99.214500000000001</v>
      </c>
      <c r="AL111" s="153">
        <f t="shared" ca="1" si="24"/>
        <v>364.36525124999997</v>
      </c>
    </row>
    <row r="112" spans="1:38" ht="12.75" customHeight="1" x14ac:dyDescent="0.35">
      <c r="A112" s="46" t="s">
        <v>795</v>
      </c>
      <c r="B112" s="38" t="s">
        <v>361</v>
      </c>
      <c r="C112" s="46" t="s">
        <v>795</v>
      </c>
      <c r="D112" s="22" t="s">
        <v>362</v>
      </c>
      <c r="E112" s="75">
        <f t="shared" si="16"/>
        <v>45883</v>
      </c>
      <c r="F112" s="75" t="s">
        <v>617</v>
      </c>
      <c r="G112" s="74">
        <f t="shared" si="17"/>
        <v>46248</v>
      </c>
      <c r="H112" s="19">
        <v>5.5</v>
      </c>
      <c r="I112" s="71" t="s">
        <v>19</v>
      </c>
      <c r="J112" s="2" t="s">
        <v>8</v>
      </c>
      <c r="K112" s="60" t="s">
        <v>745</v>
      </c>
      <c r="L112" s="27" t="s">
        <v>360</v>
      </c>
      <c r="M112" s="3">
        <v>1</v>
      </c>
      <c r="N112" s="3"/>
      <c r="O112" s="3">
        <v>0</v>
      </c>
      <c r="P112" s="69">
        <f t="shared" si="29"/>
        <v>1</v>
      </c>
      <c r="Q112" s="85"/>
      <c r="R112" s="67">
        <v>0</v>
      </c>
      <c r="S112" s="67"/>
      <c r="T112" s="40" t="s">
        <v>550</v>
      </c>
      <c r="U112" s="87" t="s">
        <v>933</v>
      </c>
      <c r="V112" s="137" t="s">
        <v>927</v>
      </c>
      <c r="W112" s="46" t="s">
        <v>795</v>
      </c>
      <c r="Z112" t="b">
        <f t="shared" si="18"/>
        <v>1</v>
      </c>
      <c r="AA112" s="46" t="s">
        <v>795</v>
      </c>
      <c r="AB112" s="67">
        <f t="shared" si="25"/>
        <v>0</v>
      </c>
      <c r="AC112" s="151">
        <f t="shared" si="19"/>
        <v>0</v>
      </c>
      <c r="AD112" s="152">
        <f ca="1">((Main!$C$4-E112)*(200000*(H112/100))/360)*0.025</f>
        <v>143.61111111111111</v>
      </c>
      <c r="AE112" s="152">
        <f t="shared" ca="1" si="20"/>
        <v>143.61111111111111</v>
      </c>
      <c r="AF112" s="153">
        <f t="shared" ca="1" si="21"/>
        <v>527.41180555555559</v>
      </c>
      <c r="AH112" s="67">
        <f t="shared" si="26"/>
        <v>0</v>
      </c>
      <c r="AI112" s="151">
        <f t="shared" si="22"/>
        <v>0</v>
      </c>
      <c r="AJ112">
        <f ca="1">((Main!$C$4-E112)*(200000*(H112/100))/360)*0.02577</f>
        <v>148.03433333333334</v>
      </c>
      <c r="AK112" s="152">
        <f t="shared" ca="1" si="23"/>
        <v>148.03433333333334</v>
      </c>
      <c r="AL112" s="153">
        <f t="shared" ca="1" si="24"/>
        <v>543.65608916666667</v>
      </c>
    </row>
    <row r="113" spans="1:38" ht="12.75" customHeight="1" x14ac:dyDescent="0.35">
      <c r="A113" s="46" t="s">
        <v>796</v>
      </c>
      <c r="B113" s="38" t="s">
        <v>363</v>
      </c>
      <c r="C113" s="46" t="s">
        <v>796</v>
      </c>
      <c r="D113" s="22" t="s">
        <v>364</v>
      </c>
      <c r="E113" s="75">
        <f t="shared" si="16"/>
        <v>45966</v>
      </c>
      <c r="F113" s="75" t="s">
        <v>638</v>
      </c>
      <c r="G113" s="74">
        <f t="shared" si="17"/>
        <v>46331</v>
      </c>
      <c r="H113" s="19">
        <v>4.5999999999999996</v>
      </c>
      <c r="I113" s="71" t="s">
        <v>19</v>
      </c>
      <c r="J113" s="2" t="s">
        <v>6</v>
      </c>
      <c r="K113" s="2" t="s">
        <v>733</v>
      </c>
      <c r="L113" s="27" t="s">
        <v>7</v>
      </c>
      <c r="M113" s="3">
        <v>1</v>
      </c>
      <c r="N113" s="3"/>
      <c r="O113" s="3">
        <v>0</v>
      </c>
      <c r="P113" s="69">
        <v>0</v>
      </c>
      <c r="Q113" s="85"/>
      <c r="R113" s="67">
        <v>1</v>
      </c>
      <c r="S113" s="67"/>
      <c r="T113" s="40"/>
      <c r="U113" s="87" t="s">
        <v>941</v>
      </c>
      <c r="V113" s="137" t="s">
        <v>942</v>
      </c>
      <c r="W113" s="46" t="s">
        <v>796</v>
      </c>
      <c r="Z113" t="b">
        <f t="shared" si="18"/>
        <v>1</v>
      </c>
      <c r="AA113" s="46" t="s">
        <v>796</v>
      </c>
      <c r="AB113" s="67">
        <f t="shared" si="25"/>
        <v>2.5000000000000001E-2</v>
      </c>
      <c r="AC113" s="151">
        <f t="shared" si="19"/>
        <v>5000</v>
      </c>
      <c r="AD113" s="152">
        <f ca="1">((Main!$C$4-E113)*(200000*(H113/100))/360)*0.025</f>
        <v>67.083333333333343</v>
      </c>
      <c r="AE113" s="152">
        <f t="shared" ca="1" si="20"/>
        <v>5067.083333333333</v>
      </c>
      <c r="AF113" s="153">
        <f t="shared" ca="1" si="21"/>
        <v>18608.863541666666</v>
      </c>
      <c r="AH113" s="67">
        <f t="shared" si="26"/>
        <v>2.5770000000000001E-2</v>
      </c>
      <c r="AI113" s="151">
        <f t="shared" si="22"/>
        <v>5154</v>
      </c>
      <c r="AJ113">
        <f ca="1">((Main!$C$4-E113)*(200000*(H113/100))/360)*0.02577</f>
        <v>69.149500000000003</v>
      </c>
      <c r="AK113" s="152">
        <f t="shared" ca="1" si="23"/>
        <v>5223.1495000000004</v>
      </c>
      <c r="AL113" s="153">
        <f t="shared" ca="1" si="24"/>
        <v>19182.016538750002</v>
      </c>
    </row>
    <row r="114" spans="1:38" ht="12.75" customHeight="1" x14ac:dyDescent="0.35">
      <c r="A114" s="46" t="s">
        <v>797</v>
      </c>
      <c r="B114" s="38" t="s">
        <v>365</v>
      </c>
      <c r="C114" s="46" t="s">
        <v>797</v>
      </c>
      <c r="D114" s="22" t="s">
        <v>366</v>
      </c>
      <c r="E114" s="75">
        <f t="shared" si="16"/>
        <v>45934</v>
      </c>
      <c r="F114" s="75" t="s">
        <v>639</v>
      </c>
      <c r="G114" s="74">
        <f t="shared" si="17"/>
        <v>46299</v>
      </c>
      <c r="H114" s="19">
        <v>4.9589999999999996</v>
      </c>
      <c r="I114" s="71" t="s">
        <v>19</v>
      </c>
      <c r="J114" s="2" t="s">
        <v>6</v>
      </c>
      <c r="K114" s="2" t="s">
        <v>733</v>
      </c>
      <c r="L114" s="27" t="s">
        <v>7</v>
      </c>
      <c r="M114" s="3">
        <v>1</v>
      </c>
      <c r="N114" s="3"/>
      <c r="O114" s="3">
        <v>0</v>
      </c>
      <c r="P114" s="69">
        <v>0</v>
      </c>
      <c r="Q114" s="85"/>
      <c r="R114" s="67">
        <v>1</v>
      </c>
      <c r="S114" s="67"/>
      <c r="T114" s="40"/>
      <c r="U114" s="87" t="s">
        <v>941</v>
      </c>
      <c r="V114" s="137" t="s">
        <v>942</v>
      </c>
      <c r="W114" s="46" t="s">
        <v>797</v>
      </c>
      <c r="Z114" t="b">
        <f t="shared" si="18"/>
        <v>1</v>
      </c>
      <c r="AA114" s="46" t="s">
        <v>797</v>
      </c>
      <c r="AB114" s="67">
        <f t="shared" si="25"/>
        <v>2.5000000000000001E-2</v>
      </c>
      <c r="AC114" s="151">
        <f t="shared" si="19"/>
        <v>5000</v>
      </c>
      <c r="AD114" s="152">
        <f ca="1">((Main!$C$4-E114)*(200000*(H114/100))/360)*0.025</f>
        <v>94.358749999999986</v>
      </c>
      <c r="AE114" s="152">
        <f t="shared" ca="1" si="20"/>
        <v>5094.3587500000003</v>
      </c>
      <c r="AF114" s="153">
        <f t="shared" ca="1" si="21"/>
        <v>18709.032509375</v>
      </c>
      <c r="AH114" s="67">
        <f t="shared" si="26"/>
        <v>2.5770000000000001E-2</v>
      </c>
      <c r="AI114" s="151">
        <f t="shared" si="22"/>
        <v>5154</v>
      </c>
      <c r="AJ114">
        <f ca="1">((Main!$C$4-E114)*(200000*(H114/100))/360)*0.02577</f>
        <v>97.264999499999988</v>
      </c>
      <c r="AK114" s="152">
        <f t="shared" ca="1" si="23"/>
        <v>5251.2649995000002</v>
      </c>
      <c r="AL114" s="153">
        <f t="shared" ca="1" si="24"/>
        <v>19285.27071066375</v>
      </c>
    </row>
    <row r="115" spans="1:38" ht="12.75" customHeight="1" x14ac:dyDescent="0.35">
      <c r="A115" s="46" t="s">
        <v>798</v>
      </c>
      <c r="B115" s="38" t="s">
        <v>367</v>
      </c>
      <c r="C115" s="46" t="s">
        <v>798</v>
      </c>
      <c r="D115" s="22" t="s">
        <v>368</v>
      </c>
      <c r="E115" s="75">
        <f t="shared" si="16"/>
        <v>45995</v>
      </c>
      <c r="F115" s="75" t="s">
        <v>564</v>
      </c>
      <c r="G115" s="74">
        <f t="shared" si="17"/>
        <v>46360</v>
      </c>
      <c r="H115" s="19">
        <v>5</v>
      </c>
      <c r="I115" s="71" t="s">
        <v>19</v>
      </c>
      <c r="J115" s="2" t="s">
        <v>6</v>
      </c>
      <c r="K115" s="2" t="s">
        <v>733</v>
      </c>
      <c r="L115" s="27" t="s">
        <v>7</v>
      </c>
      <c r="M115" s="3">
        <v>1</v>
      </c>
      <c r="N115" s="3"/>
      <c r="O115" s="3">
        <v>0</v>
      </c>
      <c r="P115" s="69">
        <v>0</v>
      </c>
      <c r="Q115" s="85"/>
      <c r="R115" s="67">
        <v>1</v>
      </c>
      <c r="S115" s="67"/>
      <c r="T115" s="40"/>
      <c r="U115" s="87" t="s">
        <v>941</v>
      </c>
      <c r="V115" s="137" t="s">
        <v>942</v>
      </c>
      <c r="W115" s="46" t="s">
        <v>798</v>
      </c>
      <c r="Z115" t="b">
        <f t="shared" si="18"/>
        <v>1</v>
      </c>
      <c r="AA115" s="46" t="s">
        <v>798</v>
      </c>
      <c r="AB115" s="67">
        <f t="shared" si="25"/>
        <v>2.5000000000000001E-2</v>
      </c>
      <c r="AC115" s="151">
        <f t="shared" si="19"/>
        <v>5000</v>
      </c>
      <c r="AD115" s="152">
        <f ca="1">((Main!$C$4-E115)*(200000*(H115/100))/360)*0.025</f>
        <v>52.777777777777786</v>
      </c>
      <c r="AE115" s="152">
        <f t="shared" ca="1" si="20"/>
        <v>5052.7777777777774</v>
      </c>
      <c r="AF115" s="153">
        <f t="shared" ca="1" si="21"/>
        <v>18556.326388888887</v>
      </c>
      <c r="AH115" s="67">
        <f t="shared" si="26"/>
        <v>2.5770000000000001E-2</v>
      </c>
      <c r="AI115" s="151">
        <f t="shared" si="22"/>
        <v>5154</v>
      </c>
      <c r="AJ115">
        <f ca="1">((Main!$C$4-E115)*(200000*(H115/100))/360)*0.02577</f>
        <v>54.403333333333343</v>
      </c>
      <c r="AK115" s="152">
        <f t="shared" ca="1" si="23"/>
        <v>5208.4033333333336</v>
      </c>
      <c r="AL115" s="153">
        <f t="shared" ca="1" si="24"/>
        <v>19127.861241666666</v>
      </c>
    </row>
    <row r="116" spans="1:38" ht="12.75" customHeight="1" x14ac:dyDescent="0.35">
      <c r="A116" s="46" t="s">
        <v>799</v>
      </c>
      <c r="B116" s="38" t="s">
        <v>485</v>
      </c>
      <c r="C116" s="46" t="s">
        <v>799</v>
      </c>
      <c r="D116" s="22" t="s">
        <v>486</v>
      </c>
      <c r="E116" s="75">
        <f t="shared" si="16"/>
        <v>45905</v>
      </c>
      <c r="F116" s="75" t="s">
        <v>616</v>
      </c>
      <c r="G116" s="74">
        <f t="shared" si="17"/>
        <v>46270</v>
      </c>
      <c r="H116" s="19">
        <v>5.2789999999999999</v>
      </c>
      <c r="I116" s="71" t="s">
        <v>19</v>
      </c>
      <c r="J116" s="2" t="s">
        <v>4</v>
      </c>
      <c r="K116" s="2" t="s">
        <v>907</v>
      </c>
      <c r="L116" s="1" t="s">
        <v>487</v>
      </c>
      <c r="M116" s="3">
        <v>0.54</v>
      </c>
      <c r="N116" s="3"/>
      <c r="O116" s="3">
        <v>0.46</v>
      </c>
      <c r="P116" s="69">
        <f>M116</f>
        <v>0.54</v>
      </c>
      <c r="Q116" s="85">
        <f>1-P116</f>
        <v>0.45999999999999996</v>
      </c>
      <c r="R116" s="67">
        <v>0.46</v>
      </c>
      <c r="S116" s="67"/>
      <c r="T116" s="40" t="s">
        <v>548</v>
      </c>
      <c r="U116" s="87" t="s">
        <v>928</v>
      </c>
      <c r="V116" s="137" t="s">
        <v>929</v>
      </c>
      <c r="W116" s="46" t="s">
        <v>799</v>
      </c>
      <c r="Z116" t="b">
        <f t="shared" si="18"/>
        <v>1</v>
      </c>
      <c r="AA116" s="46" t="s">
        <v>799</v>
      </c>
      <c r="AB116" s="67">
        <f t="shared" si="25"/>
        <v>1.1500000000000002E-2</v>
      </c>
      <c r="AC116" s="151">
        <f t="shared" si="19"/>
        <v>2300.0000000000005</v>
      </c>
      <c r="AD116" s="152">
        <f ca="1">((Main!$C$4-E116)*(200000*(H116/100))/360)*0.025</f>
        <v>121.71027777777779</v>
      </c>
      <c r="AE116" s="152">
        <f t="shared" ca="1" si="20"/>
        <v>2421.7102777777782</v>
      </c>
      <c r="AF116" s="153">
        <f t="shared" ca="1" si="21"/>
        <v>8893.7309951388906</v>
      </c>
      <c r="AH116" s="67">
        <f t="shared" si="26"/>
        <v>1.1854200000000001E-2</v>
      </c>
      <c r="AI116" s="151">
        <f t="shared" si="22"/>
        <v>2370.84</v>
      </c>
      <c r="AJ116">
        <f ca="1">((Main!$C$4-E116)*(200000*(H116/100))/360)*0.02577</f>
        <v>125.45895433333335</v>
      </c>
      <c r="AK116" s="152">
        <f t="shared" ca="1" si="23"/>
        <v>2496.2989543333333</v>
      </c>
      <c r="AL116" s="153">
        <f t="shared" ca="1" si="24"/>
        <v>9167.6579097891663</v>
      </c>
    </row>
    <row r="117" spans="1:38" ht="12.75" customHeight="1" x14ac:dyDescent="0.35">
      <c r="A117" s="46" t="s">
        <v>387</v>
      </c>
      <c r="B117" s="38" t="s">
        <v>388</v>
      </c>
      <c r="C117" s="46" t="s">
        <v>387</v>
      </c>
      <c r="D117" s="22" t="s">
        <v>389</v>
      </c>
      <c r="E117" s="75">
        <f t="shared" si="16"/>
        <v>46046</v>
      </c>
      <c r="F117" s="75" t="s">
        <v>589</v>
      </c>
      <c r="G117" s="74">
        <f t="shared" si="17"/>
        <v>46411</v>
      </c>
      <c r="H117" s="19">
        <v>5.375</v>
      </c>
      <c r="I117" s="71" t="s">
        <v>19</v>
      </c>
      <c r="J117" s="2" t="s">
        <v>6</v>
      </c>
      <c r="K117" s="2" t="s">
        <v>737</v>
      </c>
      <c r="L117" s="65" t="s">
        <v>390</v>
      </c>
      <c r="M117" s="3">
        <v>1</v>
      </c>
      <c r="N117" s="3"/>
      <c r="O117" s="3">
        <v>0</v>
      </c>
      <c r="P117" s="69">
        <v>0</v>
      </c>
      <c r="Q117" s="85"/>
      <c r="R117" s="67">
        <v>1</v>
      </c>
      <c r="S117" s="67"/>
      <c r="T117" s="40"/>
      <c r="U117" s="87" t="s">
        <v>939</v>
      </c>
      <c r="V117" s="137" t="s">
        <v>940</v>
      </c>
      <c r="W117" s="46" t="s">
        <v>387</v>
      </c>
      <c r="Z117" t="b">
        <f t="shared" si="18"/>
        <v>1</v>
      </c>
      <c r="AA117" s="46" t="s">
        <v>387</v>
      </c>
      <c r="AB117" s="67">
        <f t="shared" si="25"/>
        <v>2.5000000000000001E-2</v>
      </c>
      <c r="AC117" s="151">
        <f t="shared" si="19"/>
        <v>5000</v>
      </c>
      <c r="AD117" s="152">
        <f ca="1">((Main!$C$4-E117)*(200000*(H117/100))/360)*0.025</f>
        <v>18.663194444444446</v>
      </c>
      <c r="AE117" s="152">
        <f t="shared" ca="1" si="20"/>
        <v>5018.6631944444443</v>
      </c>
      <c r="AF117" s="153">
        <f t="shared" ca="1" si="21"/>
        <v>18431.040581597223</v>
      </c>
      <c r="AH117" s="67">
        <f t="shared" si="26"/>
        <v>2.5770000000000001E-2</v>
      </c>
      <c r="AI117" s="151">
        <f t="shared" si="22"/>
        <v>5154</v>
      </c>
      <c r="AJ117">
        <f ca="1">((Main!$C$4-E117)*(200000*(H117/100))/360)*0.02577</f>
        <v>19.238020833333337</v>
      </c>
      <c r="AK117" s="152">
        <f t="shared" ca="1" si="23"/>
        <v>5173.2380208333334</v>
      </c>
      <c r="AL117" s="153">
        <f t="shared" ca="1" si="24"/>
        <v>18998.716631510415</v>
      </c>
    </row>
    <row r="118" spans="1:38" ht="12.75" customHeight="1" x14ac:dyDescent="0.35">
      <c r="A118" s="46" t="s">
        <v>800</v>
      </c>
      <c r="B118" s="38" t="s">
        <v>383</v>
      </c>
      <c r="C118" s="46" t="s">
        <v>800</v>
      </c>
      <c r="D118" s="22" t="s">
        <v>384</v>
      </c>
      <c r="E118" s="75">
        <f t="shared" si="16"/>
        <v>45916</v>
      </c>
      <c r="F118" s="75" t="s">
        <v>622</v>
      </c>
      <c r="G118" s="74">
        <f t="shared" si="17"/>
        <v>46281</v>
      </c>
      <c r="H118" s="19">
        <v>7.25</v>
      </c>
      <c r="I118" s="71" t="s">
        <v>19</v>
      </c>
      <c r="J118" s="2" t="s">
        <v>4</v>
      </c>
      <c r="K118" s="2" t="s">
        <v>749</v>
      </c>
      <c r="L118" s="27" t="s">
        <v>5</v>
      </c>
      <c r="M118" s="3">
        <v>0.55000000000000004</v>
      </c>
      <c r="N118" s="3"/>
      <c r="O118" s="3">
        <v>0.45</v>
      </c>
      <c r="P118" s="69">
        <f>M118</f>
        <v>0.55000000000000004</v>
      </c>
      <c r="Q118" s="85">
        <f>1-P118</f>
        <v>0.44999999999999996</v>
      </c>
      <c r="R118" s="67">
        <v>0.45</v>
      </c>
      <c r="S118" s="67"/>
      <c r="T118" s="40" t="s">
        <v>548</v>
      </c>
      <c r="U118" s="87" t="s">
        <v>928</v>
      </c>
      <c r="V118" s="137" t="s">
        <v>929</v>
      </c>
      <c r="W118" s="46" t="s">
        <v>800</v>
      </c>
      <c r="Z118" t="b">
        <f t="shared" si="18"/>
        <v>1</v>
      </c>
      <c r="AA118" s="46" t="s">
        <v>800</v>
      </c>
      <c r="AB118" s="67">
        <f t="shared" si="25"/>
        <v>1.1250000000000001E-2</v>
      </c>
      <c r="AC118" s="151">
        <f t="shared" si="19"/>
        <v>2250.0000000000005</v>
      </c>
      <c r="AD118" s="152">
        <f ca="1">((Main!$C$4-E118)*(200000*(H118/100))/360)*0.025</f>
        <v>156.07638888888886</v>
      </c>
      <c r="AE118" s="152">
        <f t="shared" ca="1" si="20"/>
        <v>2406.0763888888891</v>
      </c>
      <c r="AF118" s="153">
        <f t="shared" ca="1" si="21"/>
        <v>8836.3155381944453</v>
      </c>
      <c r="AH118" s="67">
        <f t="shared" si="26"/>
        <v>1.1596500000000001E-2</v>
      </c>
      <c r="AI118" s="151">
        <f t="shared" si="22"/>
        <v>2319.3000000000002</v>
      </c>
      <c r="AJ118">
        <f ca="1">((Main!$C$4-E118)*(200000*(H118/100))/360)*0.02577</f>
        <v>160.88354166666662</v>
      </c>
      <c r="AK118" s="152">
        <f t="shared" ca="1" si="23"/>
        <v>2480.1835416666668</v>
      </c>
      <c r="AL118" s="153">
        <f t="shared" ca="1" si="24"/>
        <v>9108.4740567708341</v>
      </c>
    </row>
    <row r="119" spans="1:38" ht="12.75" customHeight="1" x14ac:dyDescent="0.35">
      <c r="A119" s="46" t="s">
        <v>801</v>
      </c>
      <c r="B119" s="38" t="s">
        <v>385</v>
      </c>
      <c r="C119" s="46" t="s">
        <v>801</v>
      </c>
      <c r="D119" s="22" t="s">
        <v>386</v>
      </c>
      <c r="E119" s="75">
        <f t="shared" si="16"/>
        <v>45967</v>
      </c>
      <c r="F119" s="75" t="s">
        <v>557</v>
      </c>
      <c r="G119" s="74">
        <f t="shared" si="17"/>
        <v>46332</v>
      </c>
      <c r="H119" s="19">
        <v>8.375</v>
      </c>
      <c r="I119" s="71" t="s">
        <v>19</v>
      </c>
      <c r="J119" s="2" t="s">
        <v>4</v>
      </c>
      <c r="K119" s="2" t="s">
        <v>749</v>
      </c>
      <c r="L119" s="27" t="s">
        <v>5</v>
      </c>
      <c r="M119" s="3">
        <v>0.55000000000000004</v>
      </c>
      <c r="N119" s="3"/>
      <c r="O119" s="3">
        <v>0.45</v>
      </c>
      <c r="P119" s="69">
        <f>M119</f>
        <v>0.55000000000000004</v>
      </c>
      <c r="Q119" s="85">
        <f>1-P119</f>
        <v>0.44999999999999996</v>
      </c>
      <c r="R119" s="67">
        <v>0.45</v>
      </c>
      <c r="S119" s="67"/>
      <c r="T119" s="40" t="s">
        <v>548</v>
      </c>
      <c r="U119" s="87" t="s">
        <v>928</v>
      </c>
      <c r="V119" s="137" t="s">
        <v>929</v>
      </c>
      <c r="W119" s="46" t="s">
        <v>801</v>
      </c>
      <c r="Z119" t="b">
        <f t="shared" si="18"/>
        <v>1</v>
      </c>
      <c r="AA119" s="46" t="s">
        <v>801</v>
      </c>
      <c r="AB119" s="67">
        <f t="shared" si="25"/>
        <v>1.1250000000000001E-2</v>
      </c>
      <c r="AC119" s="151">
        <f t="shared" si="19"/>
        <v>2250.0000000000005</v>
      </c>
      <c r="AD119" s="152">
        <f ca="1">((Main!$C$4-E119)*(200000*(H119/100))/360)*0.025</f>
        <v>120.97222222222223</v>
      </c>
      <c r="AE119" s="152">
        <f t="shared" ca="1" si="20"/>
        <v>2370.9722222222226</v>
      </c>
      <c r="AF119" s="153">
        <f t="shared" ca="1" si="21"/>
        <v>8707.3954861111124</v>
      </c>
      <c r="AH119" s="67">
        <f t="shared" si="26"/>
        <v>1.1596500000000001E-2</v>
      </c>
      <c r="AI119" s="151">
        <f t="shared" si="22"/>
        <v>2319.3000000000002</v>
      </c>
      <c r="AJ119">
        <f ca="1">((Main!$C$4-E119)*(200000*(H119/100))/360)*0.02577</f>
        <v>124.69816666666667</v>
      </c>
      <c r="AK119" s="152">
        <f t="shared" ca="1" si="23"/>
        <v>2443.9981666666667</v>
      </c>
      <c r="AL119" s="153">
        <f t="shared" ca="1" si="24"/>
        <v>8975.5832670833333</v>
      </c>
    </row>
    <row r="120" spans="1:38" ht="12.75" customHeight="1" x14ac:dyDescent="0.35">
      <c r="A120" s="46" t="s">
        <v>802</v>
      </c>
      <c r="B120" s="38" t="s">
        <v>394</v>
      </c>
      <c r="C120" s="46" t="s">
        <v>802</v>
      </c>
      <c r="D120" s="22" t="s">
        <v>395</v>
      </c>
      <c r="E120" s="75">
        <f t="shared" si="16"/>
        <v>45910</v>
      </c>
      <c r="F120" s="75" t="s">
        <v>640</v>
      </c>
      <c r="G120" s="74">
        <f t="shared" si="17"/>
        <v>46275</v>
      </c>
      <c r="H120" s="19">
        <v>4.375</v>
      </c>
      <c r="I120" s="71" t="s">
        <v>19</v>
      </c>
      <c r="J120" s="2" t="s">
        <v>6</v>
      </c>
      <c r="K120" s="2" t="s">
        <v>733</v>
      </c>
      <c r="L120" s="27" t="s">
        <v>7</v>
      </c>
      <c r="M120" s="3">
        <v>1</v>
      </c>
      <c r="N120" s="3"/>
      <c r="O120" s="3">
        <v>0</v>
      </c>
      <c r="P120" s="69">
        <v>0</v>
      </c>
      <c r="Q120" s="85"/>
      <c r="R120" s="67">
        <v>1</v>
      </c>
      <c r="S120" s="67"/>
      <c r="T120" s="40"/>
      <c r="U120" s="87" t="s">
        <v>941</v>
      </c>
      <c r="V120" s="137" t="s">
        <v>942</v>
      </c>
      <c r="W120" s="46" t="s">
        <v>802</v>
      </c>
      <c r="Z120" t="b">
        <f t="shared" si="18"/>
        <v>1</v>
      </c>
      <c r="AA120" s="46" t="s">
        <v>802</v>
      </c>
      <c r="AB120" s="67">
        <f t="shared" si="25"/>
        <v>2.5000000000000001E-2</v>
      </c>
      <c r="AC120" s="151">
        <f t="shared" si="19"/>
        <v>5000</v>
      </c>
      <c r="AD120" s="152">
        <f ca="1">((Main!$C$4-E120)*(200000*(H120/100))/360)*0.025</f>
        <v>97.829861111111114</v>
      </c>
      <c r="AE120" s="152">
        <f t="shared" ca="1" si="20"/>
        <v>5097.8298611111113</v>
      </c>
      <c r="AF120" s="153">
        <f t="shared" ca="1" si="21"/>
        <v>18721.780164930555</v>
      </c>
      <c r="AH120" s="67">
        <f t="shared" si="26"/>
        <v>2.5770000000000001E-2</v>
      </c>
      <c r="AI120" s="151">
        <f t="shared" si="22"/>
        <v>5154</v>
      </c>
      <c r="AJ120">
        <f ca="1">((Main!$C$4-E120)*(200000*(H120/100))/360)*0.02577</f>
        <v>100.84302083333334</v>
      </c>
      <c r="AK120" s="152">
        <f t="shared" ca="1" si="23"/>
        <v>5254.843020833333</v>
      </c>
      <c r="AL120" s="153">
        <f t="shared" ca="1" si="24"/>
        <v>19298.410994010414</v>
      </c>
    </row>
    <row r="121" spans="1:38" ht="12.75" customHeight="1" x14ac:dyDescent="0.35">
      <c r="A121" s="46" t="s">
        <v>803</v>
      </c>
      <c r="B121" s="38" t="s">
        <v>396</v>
      </c>
      <c r="C121" s="46" t="s">
        <v>803</v>
      </c>
      <c r="D121" s="22" t="s">
        <v>397</v>
      </c>
      <c r="E121" s="75">
        <f t="shared" si="16"/>
        <v>45969</v>
      </c>
      <c r="F121" s="75" t="s">
        <v>637</v>
      </c>
      <c r="G121" s="74">
        <f t="shared" si="17"/>
        <v>46334</v>
      </c>
      <c r="H121" s="19">
        <v>4.875</v>
      </c>
      <c r="I121" s="71" t="s">
        <v>19</v>
      </c>
      <c r="J121" s="2" t="s">
        <v>6</v>
      </c>
      <c r="K121" s="2" t="s">
        <v>733</v>
      </c>
      <c r="L121" s="27" t="s">
        <v>7</v>
      </c>
      <c r="M121" s="3">
        <v>1</v>
      </c>
      <c r="N121" s="3"/>
      <c r="O121" s="3">
        <v>0</v>
      </c>
      <c r="P121" s="69">
        <v>0</v>
      </c>
      <c r="Q121" s="85"/>
      <c r="R121" s="67">
        <v>1</v>
      </c>
      <c r="S121" s="67"/>
      <c r="T121" s="40"/>
      <c r="U121" s="87" t="s">
        <v>941</v>
      </c>
      <c r="V121" s="137" t="s">
        <v>942</v>
      </c>
      <c r="W121" s="46" t="s">
        <v>803</v>
      </c>
      <c r="Z121" t="b">
        <f t="shared" si="18"/>
        <v>1</v>
      </c>
      <c r="AA121" s="46" t="s">
        <v>803</v>
      </c>
      <c r="AB121" s="67">
        <f t="shared" si="25"/>
        <v>2.5000000000000001E-2</v>
      </c>
      <c r="AC121" s="151">
        <f t="shared" si="19"/>
        <v>5000</v>
      </c>
      <c r="AD121" s="152">
        <f ca="1">((Main!$C$4-E121)*(200000*(H121/100))/360)*0.025</f>
        <v>69.0625</v>
      </c>
      <c r="AE121" s="152">
        <f t="shared" ca="1" si="20"/>
        <v>5069.0625</v>
      </c>
      <c r="AF121" s="153">
        <f t="shared" ca="1" si="21"/>
        <v>18616.132031249999</v>
      </c>
      <c r="AH121" s="67">
        <f t="shared" si="26"/>
        <v>2.5770000000000001E-2</v>
      </c>
      <c r="AI121" s="151">
        <f t="shared" si="22"/>
        <v>5154</v>
      </c>
      <c r="AJ121">
        <f ca="1">((Main!$C$4-E121)*(200000*(H121/100))/360)*0.02577</f>
        <v>71.189625000000007</v>
      </c>
      <c r="AK121" s="152">
        <f t="shared" ca="1" si="23"/>
        <v>5225.189625</v>
      </c>
      <c r="AL121" s="153">
        <f t="shared" ca="1" si="24"/>
        <v>19189.508897812499</v>
      </c>
    </row>
    <row r="122" spans="1:38" ht="12.75" customHeight="1" x14ac:dyDescent="0.35">
      <c r="A122" s="46" t="s">
        <v>804</v>
      </c>
      <c r="B122" s="38" t="s">
        <v>398</v>
      </c>
      <c r="C122" s="46" t="s">
        <v>804</v>
      </c>
      <c r="D122" s="22" t="s">
        <v>399</v>
      </c>
      <c r="E122" s="75">
        <f t="shared" si="16"/>
        <v>45955</v>
      </c>
      <c r="F122" s="75" t="s">
        <v>641</v>
      </c>
      <c r="G122" s="74">
        <f t="shared" si="17"/>
        <v>46320</v>
      </c>
      <c r="H122" s="19">
        <v>6</v>
      </c>
      <c r="I122" s="71" t="s">
        <v>19</v>
      </c>
      <c r="J122" s="2" t="s">
        <v>6</v>
      </c>
      <c r="K122" s="2" t="s">
        <v>733</v>
      </c>
      <c r="L122" s="27" t="s">
        <v>7</v>
      </c>
      <c r="M122" s="3">
        <v>1</v>
      </c>
      <c r="N122" s="3"/>
      <c r="O122" s="3">
        <v>0</v>
      </c>
      <c r="P122" s="69">
        <v>0</v>
      </c>
      <c r="Q122" s="85"/>
      <c r="R122" s="67">
        <v>1</v>
      </c>
      <c r="S122" s="67"/>
      <c r="T122" s="40"/>
      <c r="U122" s="87" t="s">
        <v>941</v>
      </c>
      <c r="V122" s="137" t="s">
        <v>942</v>
      </c>
      <c r="W122" s="46" t="s">
        <v>804</v>
      </c>
      <c r="Z122" t="b">
        <f t="shared" si="18"/>
        <v>1</v>
      </c>
      <c r="AA122" s="46" t="s">
        <v>804</v>
      </c>
      <c r="AB122" s="67">
        <f t="shared" si="25"/>
        <v>2.5000000000000001E-2</v>
      </c>
      <c r="AC122" s="151">
        <f t="shared" si="19"/>
        <v>5000</v>
      </c>
      <c r="AD122" s="152">
        <f ca="1">((Main!$C$4-E122)*(200000*(H122/100))/360)*0.025</f>
        <v>96.666666666666671</v>
      </c>
      <c r="AE122" s="152">
        <f t="shared" ca="1" si="20"/>
        <v>5096.666666666667</v>
      </c>
      <c r="AF122" s="153">
        <f t="shared" ca="1" si="21"/>
        <v>18717.508333333335</v>
      </c>
      <c r="AH122" s="67">
        <f t="shared" si="26"/>
        <v>2.5770000000000001E-2</v>
      </c>
      <c r="AI122" s="151">
        <f t="shared" si="22"/>
        <v>5154</v>
      </c>
      <c r="AJ122">
        <f ca="1">((Main!$C$4-E122)*(200000*(H122/100))/360)*0.02577</f>
        <v>99.644000000000005</v>
      </c>
      <c r="AK122" s="152">
        <f t="shared" ca="1" si="23"/>
        <v>5253.6440000000002</v>
      </c>
      <c r="AL122" s="153">
        <f t="shared" ca="1" si="24"/>
        <v>19294.007590000001</v>
      </c>
    </row>
    <row r="123" spans="1:38" ht="12.75" customHeight="1" x14ac:dyDescent="0.35">
      <c r="A123" s="46" t="s">
        <v>805</v>
      </c>
      <c r="B123" s="38" t="s">
        <v>400</v>
      </c>
      <c r="C123" s="46" t="s">
        <v>805</v>
      </c>
      <c r="D123" s="22" t="s">
        <v>401</v>
      </c>
      <c r="E123" s="75">
        <f t="shared" si="16"/>
        <v>45905</v>
      </c>
      <c r="F123" s="75" t="s">
        <v>616</v>
      </c>
      <c r="G123" s="74">
        <f t="shared" si="17"/>
        <v>46270</v>
      </c>
      <c r="H123" s="19">
        <v>5.1710000000000003</v>
      </c>
      <c r="I123" s="71" t="s">
        <v>19</v>
      </c>
      <c r="J123" s="2" t="s">
        <v>6</v>
      </c>
      <c r="K123" s="2" t="s">
        <v>733</v>
      </c>
      <c r="L123" s="27" t="s">
        <v>7</v>
      </c>
      <c r="M123" s="3">
        <v>1</v>
      </c>
      <c r="N123" s="3"/>
      <c r="O123" s="3">
        <v>0</v>
      </c>
      <c r="P123" s="69">
        <v>0</v>
      </c>
      <c r="Q123" s="85"/>
      <c r="R123" s="67">
        <v>1</v>
      </c>
      <c r="S123" s="67"/>
      <c r="T123" s="40"/>
      <c r="U123" s="87" t="s">
        <v>941</v>
      </c>
      <c r="V123" s="137" t="s">
        <v>942</v>
      </c>
      <c r="W123" s="46" t="s">
        <v>805</v>
      </c>
      <c r="Z123" t="b">
        <f t="shared" si="18"/>
        <v>1</v>
      </c>
      <c r="AA123" s="46" t="s">
        <v>805</v>
      </c>
      <c r="AB123" s="67">
        <f t="shared" si="25"/>
        <v>2.5000000000000001E-2</v>
      </c>
      <c r="AC123" s="151">
        <f t="shared" si="19"/>
        <v>5000</v>
      </c>
      <c r="AD123" s="152">
        <f ca="1">((Main!$C$4-E123)*(200000*(H123/100))/360)*0.025</f>
        <v>119.22027777777781</v>
      </c>
      <c r="AE123" s="152">
        <f t="shared" ca="1" si="20"/>
        <v>5119.2202777777775</v>
      </c>
      <c r="AF123" s="153">
        <f t="shared" ca="1" si="21"/>
        <v>18800.336470138885</v>
      </c>
      <c r="AH123" s="67">
        <f t="shared" si="26"/>
        <v>2.5770000000000001E-2</v>
      </c>
      <c r="AI123" s="151">
        <f t="shared" si="22"/>
        <v>5154</v>
      </c>
      <c r="AJ123">
        <f ca="1">((Main!$C$4-E123)*(200000*(H123/100))/360)*0.02577</f>
        <v>122.89226233333336</v>
      </c>
      <c r="AK123" s="152">
        <f t="shared" ca="1" si="23"/>
        <v>5276.8922623333337</v>
      </c>
      <c r="AL123" s="153">
        <f t="shared" ca="1" si="24"/>
        <v>19379.386833419168</v>
      </c>
    </row>
    <row r="124" spans="1:38" ht="12.75" customHeight="1" x14ac:dyDescent="0.35">
      <c r="A124" s="46" t="s">
        <v>806</v>
      </c>
      <c r="B124" s="38" t="s">
        <v>402</v>
      </c>
      <c r="C124" s="46" t="s">
        <v>806</v>
      </c>
      <c r="D124" s="22" t="s">
        <v>403</v>
      </c>
      <c r="E124" s="75">
        <f t="shared" si="16"/>
        <v>45955</v>
      </c>
      <c r="F124" s="75" t="s">
        <v>641</v>
      </c>
      <c r="G124" s="74">
        <f t="shared" si="17"/>
        <v>46320</v>
      </c>
      <c r="H124" s="19">
        <v>6.25</v>
      </c>
      <c r="I124" s="71" t="s">
        <v>19</v>
      </c>
      <c r="J124" s="2" t="s">
        <v>6</v>
      </c>
      <c r="K124" s="2" t="s">
        <v>733</v>
      </c>
      <c r="L124" s="27" t="s">
        <v>7</v>
      </c>
      <c r="M124" s="3">
        <v>1</v>
      </c>
      <c r="N124" s="3"/>
      <c r="O124" s="3">
        <v>0</v>
      </c>
      <c r="P124" s="69">
        <v>0</v>
      </c>
      <c r="Q124" s="85"/>
      <c r="R124" s="67">
        <v>1</v>
      </c>
      <c r="S124" s="67"/>
      <c r="T124" s="40"/>
      <c r="U124" s="87" t="s">
        <v>941</v>
      </c>
      <c r="V124" s="137" t="s">
        <v>942</v>
      </c>
      <c r="W124" s="46" t="s">
        <v>806</v>
      </c>
      <c r="Z124" t="b">
        <f t="shared" si="18"/>
        <v>1</v>
      </c>
      <c r="AA124" s="46" t="s">
        <v>806</v>
      </c>
      <c r="AB124" s="67">
        <f t="shared" si="25"/>
        <v>2.5000000000000001E-2</v>
      </c>
      <c r="AC124" s="151">
        <f t="shared" si="19"/>
        <v>5000</v>
      </c>
      <c r="AD124" s="152">
        <f ca="1">((Main!$C$4-E124)*(200000*(H124/100))/360)*0.025</f>
        <v>100.69444444444446</v>
      </c>
      <c r="AE124" s="152">
        <f t="shared" ca="1" si="20"/>
        <v>5100.6944444444443</v>
      </c>
      <c r="AF124" s="153">
        <f t="shared" ca="1" si="21"/>
        <v>18732.300347222223</v>
      </c>
      <c r="AH124" s="67">
        <f t="shared" si="26"/>
        <v>2.5770000000000001E-2</v>
      </c>
      <c r="AI124" s="151">
        <f t="shared" si="22"/>
        <v>5154</v>
      </c>
      <c r="AJ124">
        <f ca="1">((Main!$C$4-E124)*(200000*(H124/100))/360)*0.02577</f>
        <v>103.79583333333333</v>
      </c>
      <c r="AK124" s="152">
        <f t="shared" ca="1" si="23"/>
        <v>5257.7958333333336</v>
      </c>
      <c r="AL124" s="153">
        <f t="shared" ca="1" si="24"/>
        <v>19309.255197916667</v>
      </c>
    </row>
    <row r="125" spans="1:38" ht="12.75" customHeight="1" x14ac:dyDescent="0.35">
      <c r="A125" s="46" t="s">
        <v>807</v>
      </c>
      <c r="B125" s="38" t="s">
        <v>413</v>
      </c>
      <c r="C125" s="46" t="s">
        <v>807</v>
      </c>
      <c r="D125" s="22" t="s">
        <v>414</v>
      </c>
      <c r="E125" s="75">
        <f t="shared" si="16"/>
        <v>45974</v>
      </c>
      <c r="F125" s="75" t="s">
        <v>585</v>
      </c>
      <c r="G125" s="74">
        <f t="shared" si="17"/>
        <v>46339</v>
      </c>
      <c r="H125" s="19">
        <v>4.5</v>
      </c>
      <c r="I125" s="71" t="s">
        <v>19</v>
      </c>
      <c r="J125" s="2" t="s">
        <v>54</v>
      </c>
      <c r="K125" s="2" t="s">
        <v>759</v>
      </c>
      <c r="L125" s="1" t="s">
        <v>338</v>
      </c>
      <c r="M125" s="3">
        <v>0.55000000000000004</v>
      </c>
      <c r="N125" s="3"/>
      <c r="O125" s="3">
        <v>0.45</v>
      </c>
      <c r="P125" s="3">
        <f t="shared" ref="P125:P149" si="30">M125</f>
        <v>0.55000000000000004</v>
      </c>
      <c r="Q125" s="84"/>
      <c r="R125" s="67">
        <v>0.45</v>
      </c>
      <c r="S125" s="67"/>
      <c r="T125" s="40" t="s">
        <v>548</v>
      </c>
      <c r="U125" s="87" t="s">
        <v>946</v>
      </c>
      <c r="V125" s="137" t="s">
        <v>947</v>
      </c>
      <c r="W125" s="46" t="s">
        <v>807</v>
      </c>
      <c r="Z125" t="b">
        <f t="shared" si="18"/>
        <v>1</v>
      </c>
      <c r="AA125" s="46" t="s">
        <v>807</v>
      </c>
      <c r="AB125" s="67">
        <f t="shared" si="25"/>
        <v>1.1250000000000001E-2</v>
      </c>
      <c r="AC125" s="151">
        <f t="shared" si="19"/>
        <v>2250.0000000000005</v>
      </c>
      <c r="AD125" s="152">
        <f ca="1">((Main!$C$4-E125)*(200000*(H125/100))/360)*0.025</f>
        <v>60.625</v>
      </c>
      <c r="AE125" s="152">
        <f t="shared" ca="1" si="20"/>
        <v>2310.6250000000005</v>
      </c>
      <c r="AF125" s="153">
        <f t="shared" ca="1" si="21"/>
        <v>8485.7703125000007</v>
      </c>
      <c r="AH125" s="67">
        <f t="shared" si="26"/>
        <v>1.1596500000000001E-2</v>
      </c>
      <c r="AI125" s="151">
        <f t="shared" si="22"/>
        <v>2319.3000000000002</v>
      </c>
      <c r="AJ125">
        <f ca="1">((Main!$C$4-E125)*(200000*(H125/100))/360)*0.02577</f>
        <v>62.492250000000006</v>
      </c>
      <c r="AK125" s="152">
        <f t="shared" ca="1" si="23"/>
        <v>2381.79225</v>
      </c>
      <c r="AL125" s="153">
        <f t="shared" ca="1" si="24"/>
        <v>8747.1320381249989</v>
      </c>
    </row>
    <row r="126" spans="1:38" ht="12.75" customHeight="1" x14ac:dyDescent="0.35">
      <c r="A126" s="46" t="s">
        <v>808</v>
      </c>
      <c r="B126" s="38" t="s">
        <v>415</v>
      </c>
      <c r="C126" s="46" t="s">
        <v>808</v>
      </c>
      <c r="D126" s="22" t="s">
        <v>416</v>
      </c>
      <c r="E126" s="75">
        <f t="shared" si="16"/>
        <v>46046</v>
      </c>
      <c r="F126" s="75" t="s">
        <v>589</v>
      </c>
      <c r="G126" s="74">
        <f t="shared" si="17"/>
        <v>46411</v>
      </c>
      <c r="H126" s="19">
        <v>5.2469999999999999</v>
      </c>
      <c r="I126" s="71" t="s">
        <v>19</v>
      </c>
      <c r="J126" s="2" t="s">
        <v>54</v>
      </c>
      <c r="K126" s="2" t="s">
        <v>759</v>
      </c>
      <c r="L126" s="1" t="s">
        <v>338</v>
      </c>
      <c r="M126" s="3">
        <v>0.55000000000000004</v>
      </c>
      <c r="N126" s="3"/>
      <c r="O126" s="3">
        <v>0.45</v>
      </c>
      <c r="P126" s="3">
        <f t="shared" si="30"/>
        <v>0.55000000000000004</v>
      </c>
      <c r="Q126" s="84"/>
      <c r="R126" s="67">
        <v>0.45</v>
      </c>
      <c r="S126" s="67"/>
      <c r="T126" s="40" t="s">
        <v>548</v>
      </c>
      <c r="U126" s="87" t="s">
        <v>946</v>
      </c>
      <c r="V126" s="137" t="s">
        <v>947</v>
      </c>
      <c r="W126" s="46" t="s">
        <v>808</v>
      </c>
      <c r="Z126" t="b">
        <f t="shared" si="18"/>
        <v>1</v>
      </c>
      <c r="AA126" s="46" t="s">
        <v>808</v>
      </c>
      <c r="AB126" s="67">
        <f t="shared" si="25"/>
        <v>1.1250000000000001E-2</v>
      </c>
      <c r="AC126" s="151">
        <f t="shared" si="19"/>
        <v>2250.0000000000005</v>
      </c>
      <c r="AD126" s="152">
        <f ca="1">((Main!$C$4-E126)*(200000*(H126/100))/360)*0.025</f>
        <v>18.21875</v>
      </c>
      <c r="AE126" s="152">
        <f t="shared" ca="1" si="20"/>
        <v>2268.2187500000005</v>
      </c>
      <c r="AF126" s="153">
        <f t="shared" ca="1" si="21"/>
        <v>8330.033359375002</v>
      </c>
      <c r="AH126" s="67">
        <f t="shared" si="26"/>
        <v>1.1596500000000001E-2</v>
      </c>
      <c r="AI126" s="151">
        <f t="shared" si="22"/>
        <v>2319.3000000000002</v>
      </c>
      <c r="AJ126">
        <f ca="1">((Main!$C$4-E126)*(200000*(H126/100))/360)*0.02577</f>
        <v>18.779887500000001</v>
      </c>
      <c r="AK126" s="152">
        <f t="shared" ca="1" si="23"/>
        <v>2338.0798875</v>
      </c>
      <c r="AL126" s="153">
        <f t="shared" ca="1" si="24"/>
        <v>8586.5983868437506</v>
      </c>
    </row>
    <row r="127" spans="1:38" ht="12.75" customHeight="1" x14ac:dyDescent="0.35">
      <c r="A127" s="46" t="s">
        <v>809</v>
      </c>
      <c r="B127" s="38" t="s">
        <v>417</v>
      </c>
      <c r="C127" s="46" t="s">
        <v>809</v>
      </c>
      <c r="D127" s="22" t="s">
        <v>418</v>
      </c>
      <c r="E127" s="75">
        <f t="shared" si="16"/>
        <v>45932</v>
      </c>
      <c r="F127" s="75" t="s">
        <v>597</v>
      </c>
      <c r="G127" s="74">
        <f t="shared" si="17"/>
        <v>46297</v>
      </c>
      <c r="H127" s="19">
        <v>5.45</v>
      </c>
      <c r="I127" s="71" t="s">
        <v>19</v>
      </c>
      <c r="J127" s="2" t="s">
        <v>54</v>
      </c>
      <c r="K127" s="2" t="s">
        <v>759</v>
      </c>
      <c r="L127" s="1" t="s">
        <v>338</v>
      </c>
      <c r="M127" s="3">
        <v>0.55000000000000004</v>
      </c>
      <c r="N127" s="3"/>
      <c r="O127" s="3">
        <v>0.45</v>
      </c>
      <c r="P127" s="3">
        <f t="shared" si="30"/>
        <v>0.55000000000000004</v>
      </c>
      <c r="Q127" s="84"/>
      <c r="R127" s="67">
        <v>0.45</v>
      </c>
      <c r="S127" s="67"/>
      <c r="T127" s="40" t="s">
        <v>548</v>
      </c>
      <c r="U127" s="87" t="s">
        <v>946</v>
      </c>
      <c r="V127" s="137" t="s">
        <v>947</v>
      </c>
      <c r="W127" s="46" t="s">
        <v>809</v>
      </c>
      <c r="Z127" t="b">
        <f t="shared" si="18"/>
        <v>1</v>
      </c>
      <c r="AA127" s="46" t="s">
        <v>809</v>
      </c>
      <c r="AB127" s="67">
        <f t="shared" si="25"/>
        <v>1.1250000000000001E-2</v>
      </c>
      <c r="AC127" s="151">
        <f t="shared" si="19"/>
        <v>2250.0000000000005</v>
      </c>
      <c r="AD127" s="152">
        <f ca="1">((Main!$C$4-E127)*(200000*(H127/100))/360)*0.025</f>
        <v>105.21527777777779</v>
      </c>
      <c r="AE127" s="152">
        <f t="shared" ca="1" si="20"/>
        <v>2355.2152777777783</v>
      </c>
      <c r="AF127" s="153">
        <f t="shared" ca="1" si="21"/>
        <v>8649.528107638891</v>
      </c>
      <c r="AH127" s="67">
        <f t="shared" si="26"/>
        <v>1.1596500000000001E-2</v>
      </c>
      <c r="AI127" s="151">
        <f t="shared" si="22"/>
        <v>2319.3000000000002</v>
      </c>
      <c r="AJ127">
        <f ca="1">((Main!$C$4-E127)*(200000*(H127/100))/360)*0.02577</f>
        <v>108.45590833333334</v>
      </c>
      <c r="AK127" s="152">
        <f t="shared" ca="1" si="23"/>
        <v>2427.7559083333335</v>
      </c>
      <c r="AL127" s="153">
        <f t="shared" ca="1" si="24"/>
        <v>8915.9335733541666</v>
      </c>
    </row>
    <row r="128" spans="1:38" ht="12.75" customHeight="1" x14ac:dyDescent="0.35">
      <c r="A128" s="46" t="s">
        <v>810</v>
      </c>
      <c r="B128" s="38" t="s">
        <v>409</v>
      </c>
      <c r="C128" s="46" t="s">
        <v>810</v>
      </c>
      <c r="D128" s="22" t="s">
        <v>410</v>
      </c>
      <c r="E128" s="75">
        <f t="shared" si="16"/>
        <v>45983</v>
      </c>
      <c r="F128" s="75" t="s">
        <v>580</v>
      </c>
      <c r="G128" s="74">
        <f t="shared" si="17"/>
        <v>46348</v>
      </c>
      <c r="H128" s="19">
        <v>5.5810000000000004</v>
      </c>
      <c r="I128" s="71" t="s">
        <v>19</v>
      </c>
      <c r="J128" s="158" t="s">
        <v>6</v>
      </c>
      <c r="K128" s="162" t="s">
        <v>732</v>
      </c>
      <c r="L128" s="158" t="s">
        <v>64</v>
      </c>
      <c r="M128" s="3">
        <v>1</v>
      </c>
      <c r="N128" s="3"/>
      <c r="O128" s="3">
        <v>0</v>
      </c>
      <c r="P128" s="69">
        <f t="shared" si="30"/>
        <v>1</v>
      </c>
      <c r="Q128" s="85"/>
      <c r="R128" s="67">
        <v>0.66669999999999996</v>
      </c>
      <c r="S128" s="67"/>
      <c r="T128" s="40"/>
      <c r="U128" s="161" t="s">
        <v>949</v>
      </c>
      <c r="V128" s="174" t="s">
        <v>962</v>
      </c>
      <c r="W128" s="46" t="s">
        <v>810</v>
      </c>
      <c r="Z128" t="b">
        <f t="shared" si="18"/>
        <v>1</v>
      </c>
      <c r="AA128" s="46" t="s">
        <v>810</v>
      </c>
      <c r="AB128" s="67">
        <f t="shared" si="25"/>
        <v>1.6667499999999998E-2</v>
      </c>
      <c r="AC128" s="151">
        <f t="shared" si="19"/>
        <v>3333.4999999999995</v>
      </c>
      <c r="AD128" s="152">
        <f ca="1">((Main!$C$4-E128)*(200000*(H128/100))/360)*0.025</f>
        <v>68.212222222222223</v>
      </c>
      <c r="AE128" s="152">
        <f t="shared" ca="1" si="20"/>
        <v>3401.712222222222</v>
      </c>
      <c r="AF128" s="153">
        <f t="shared" ca="1" si="21"/>
        <v>12492.78813611111</v>
      </c>
      <c r="AH128" s="67">
        <f t="shared" si="26"/>
        <v>1.7180859E-2</v>
      </c>
      <c r="AI128" s="151">
        <f t="shared" si="22"/>
        <v>3436.1718000000001</v>
      </c>
      <c r="AJ128">
        <f ca="1">((Main!$C$4-E128)*(200000*(H128/100))/360)*0.02577</f>
        <v>70.313158666666681</v>
      </c>
      <c r="AK128" s="152">
        <f t="shared" ca="1" si="23"/>
        <v>3506.4849586666669</v>
      </c>
      <c r="AL128" s="153">
        <f t="shared" ca="1" si="24"/>
        <v>12877.566010703335</v>
      </c>
    </row>
    <row r="129" spans="1:38" ht="12.75" customHeight="1" x14ac:dyDescent="0.35">
      <c r="A129" s="46" t="s">
        <v>811</v>
      </c>
      <c r="B129" s="38" t="s">
        <v>411</v>
      </c>
      <c r="C129" s="46" t="s">
        <v>811</v>
      </c>
      <c r="D129" s="22" t="s">
        <v>412</v>
      </c>
      <c r="E129" s="75">
        <f t="shared" si="16"/>
        <v>45917</v>
      </c>
      <c r="F129" s="75" t="s">
        <v>608</v>
      </c>
      <c r="G129" s="74">
        <f t="shared" si="17"/>
        <v>46282</v>
      </c>
      <c r="H129" s="19">
        <v>4.4850000000000003</v>
      </c>
      <c r="I129" s="71" t="s">
        <v>19</v>
      </c>
      <c r="J129" s="158" t="s">
        <v>6</v>
      </c>
      <c r="K129" s="162" t="s">
        <v>732</v>
      </c>
      <c r="L129" s="158" t="s">
        <v>64</v>
      </c>
      <c r="M129" s="3">
        <v>1</v>
      </c>
      <c r="N129" s="3"/>
      <c r="O129" s="3">
        <v>0</v>
      </c>
      <c r="P129" s="69">
        <f t="shared" si="30"/>
        <v>1</v>
      </c>
      <c r="Q129" s="85"/>
      <c r="R129" s="67">
        <v>0.66669999999999996</v>
      </c>
      <c r="S129" s="67"/>
      <c r="T129" s="40"/>
      <c r="U129" s="161" t="s">
        <v>949</v>
      </c>
      <c r="V129" s="174" t="s">
        <v>962</v>
      </c>
      <c r="W129" s="46" t="s">
        <v>811</v>
      </c>
      <c r="Z129" t="b">
        <f t="shared" si="18"/>
        <v>1</v>
      </c>
      <c r="AA129" s="46" t="s">
        <v>811</v>
      </c>
      <c r="AB129" s="67">
        <f t="shared" si="25"/>
        <v>1.6667499999999998E-2</v>
      </c>
      <c r="AC129" s="151">
        <f t="shared" si="19"/>
        <v>3333.4999999999995</v>
      </c>
      <c r="AD129" s="152">
        <f ca="1">((Main!$C$4-E129)*(200000*(H129/100))/360)*0.025</f>
        <v>95.929166666666674</v>
      </c>
      <c r="AE129" s="152">
        <f t="shared" ca="1" si="20"/>
        <v>3429.4291666666663</v>
      </c>
      <c r="AF129" s="153">
        <f t="shared" ca="1" si="21"/>
        <v>12594.578614583332</v>
      </c>
      <c r="AH129" s="67">
        <f t="shared" si="26"/>
        <v>1.7180859E-2</v>
      </c>
      <c r="AI129" s="151">
        <f t="shared" si="22"/>
        <v>3436.1718000000001</v>
      </c>
      <c r="AJ129">
        <f ca="1">((Main!$C$4-E129)*(200000*(H129/100))/360)*0.02577</f>
        <v>98.883785000000003</v>
      </c>
      <c r="AK129" s="152">
        <f t="shared" ca="1" si="23"/>
        <v>3535.0555850000001</v>
      </c>
      <c r="AL129" s="153">
        <f t="shared" ca="1" si="24"/>
        <v>12982.4916359125</v>
      </c>
    </row>
    <row r="130" spans="1:38" ht="12.75" customHeight="1" x14ac:dyDescent="0.35">
      <c r="A130" s="46" t="s">
        <v>391</v>
      </c>
      <c r="B130" s="38" t="s">
        <v>392</v>
      </c>
      <c r="C130" s="46" t="s">
        <v>391</v>
      </c>
      <c r="D130" s="22" t="s">
        <v>393</v>
      </c>
      <c r="E130" s="75">
        <f t="shared" ref="E130:E193" si="31">EDATE(F130,-6)</f>
        <v>45997</v>
      </c>
      <c r="F130" s="75" t="s">
        <v>644</v>
      </c>
      <c r="G130" s="74">
        <f t="shared" ref="G130:G193" si="32">EDATE(F130,6)</f>
        <v>46362</v>
      </c>
      <c r="H130" s="19">
        <v>5.0449999999999999</v>
      </c>
      <c r="I130" s="71" t="s">
        <v>19</v>
      </c>
      <c r="J130" s="2" t="s">
        <v>4</v>
      </c>
      <c r="K130" s="2" t="s">
        <v>749</v>
      </c>
      <c r="L130" s="27" t="s">
        <v>5</v>
      </c>
      <c r="M130" s="3">
        <v>0.55000000000000004</v>
      </c>
      <c r="N130" s="3"/>
      <c r="O130" s="3">
        <v>0.45</v>
      </c>
      <c r="P130" s="69">
        <f t="shared" si="30"/>
        <v>0.55000000000000004</v>
      </c>
      <c r="Q130" s="85">
        <f t="shared" ref="Q130:Q138" si="33">1-P130</f>
        <v>0.44999999999999996</v>
      </c>
      <c r="R130" s="67">
        <v>0.45</v>
      </c>
      <c r="S130" s="67"/>
      <c r="T130" s="40" t="s">
        <v>548</v>
      </c>
      <c r="U130" s="87" t="s">
        <v>928</v>
      </c>
      <c r="V130" s="137" t="s">
        <v>929</v>
      </c>
      <c r="W130" s="46" t="s">
        <v>391</v>
      </c>
      <c r="Z130" t="b">
        <f t="shared" ref="Z130:Z193" si="34">AA130=A130</f>
        <v>1</v>
      </c>
      <c r="AA130" s="46" t="s">
        <v>391</v>
      </c>
      <c r="AB130" s="67">
        <f t="shared" si="25"/>
        <v>1.1250000000000001E-2</v>
      </c>
      <c r="AC130" s="151">
        <f t="shared" si="19"/>
        <v>2250.0000000000005</v>
      </c>
      <c r="AD130" s="152">
        <f ca="1">((Main!$C$4-E130)*(200000*(H130/100))/360)*0.025</f>
        <v>51.851388888888891</v>
      </c>
      <c r="AE130" s="152">
        <f t="shared" ca="1" si="20"/>
        <v>2301.8513888888892</v>
      </c>
      <c r="AF130" s="153">
        <f t="shared" ca="1" si="21"/>
        <v>8453.5492256944453</v>
      </c>
      <c r="AH130" s="67">
        <f t="shared" si="26"/>
        <v>1.1596500000000001E-2</v>
      </c>
      <c r="AI130" s="151">
        <f t="shared" si="22"/>
        <v>2319.3000000000002</v>
      </c>
      <c r="AJ130">
        <f ca="1">((Main!$C$4-E130)*(200000*(H130/100))/360)*0.02577</f>
        <v>53.448411666666672</v>
      </c>
      <c r="AK130" s="152">
        <f t="shared" ca="1" si="23"/>
        <v>2372.7484116666669</v>
      </c>
      <c r="AL130" s="153">
        <f t="shared" ca="1" si="24"/>
        <v>8713.9185418458346</v>
      </c>
    </row>
    <row r="131" spans="1:38" ht="12.75" customHeight="1" x14ac:dyDescent="0.35">
      <c r="A131" s="46" t="s">
        <v>812</v>
      </c>
      <c r="B131" s="38" t="s">
        <v>330</v>
      </c>
      <c r="C131" s="46" t="s">
        <v>812</v>
      </c>
      <c r="D131" s="22" t="s">
        <v>331</v>
      </c>
      <c r="E131" s="75">
        <f t="shared" si="31"/>
        <v>45882</v>
      </c>
      <c r="F131" s="75" t="s">
        <v>645</v>
      </c>
      <c r="G131" s="74">
        <f t="shared" si="32"/>
        <v>46247</v>
      </c>
      <c r="H131" s="19">
        <v>5.25</v>
      </c>
      <c r="I131" s="71" t="s">
        <v>19</v>
      </c>
      <c r="J131" s="2" t="s">
        <v>4</v>
      </c>
      <c r="K131" s="2" t="s">
        <v>749</v>
      </c>
      <c r="L131" s="2" t="s">
        <v>332</v>
      </c>
      <c r="M131" s="3">
        <v>0.55000000000000004</v>
      </c>
      <c r="N131" s="3"/>
      <c r="O131" s="3">
        <v>0.45</v>
      </c>
      <c r="P131" s="69">
        <f t="shared" si="30"/>
        <v>0.55000000000000004</v>
      </c>
      <c r="Q131" s="85">
        <f t="shared" si="33"/>
        <v>0.44999999999999996</v>
      </c>
      <c r="R131" s="67">
        <v>0.45</v>
      </c>
      <c r="S131" s="67"/>
      <c r="T131" s="40" t="s">
        <v>548</v>
      </c>
      <c r="U131" s="87" t="s">
        <v>928</v>
      </c>
      <c r="V131" s="137" t="s">
        <v>929</v>
      </c>
      <c r="W131" s="46" t="s">
        <v>812</v>
      </c>
      <c r="Z131" t="b">
        <f t="shared" si="34"/>
        <v>1</v>
      </c>
      <c r="AA131" s="46" t="s">
        <v>812</v>
      </c>
      <c r="AB131" s="67">
        <f t="shared" si="25"/>
        <v>1.1250000000000001E-2</v>
      </c>
      <c r="AC131" s="151">
        <f t="shared" ref="AC131:AC194" si="35">200000*AB131</f>
        <v>2250.0000000000005</v>
      </c>
      <c r="AD131" s="152">
        <f ca="1">((Main!$C$4-E131)*(200000*(H131/100))/360)*0.025</f>
        <v>137.8125</v>
      </c>
      <c r="AE131" s="152">
        <f t="shared" ref="AE131:AE194" ca="1" si="36">AD131+AC131</f>
        <v>2387.8125000000005</v>
      </c>
      <c r="AF131" s="153">
        <f t="shared" ref="AF131:AF194" ca="1" si="37">AE131*3.6725</f>
        <v>8769.2414062500011</v>
      </c>
      <c r="AH131" s="67">
        <f t="shared" si="26"/>
        <v>1.1596500000000001E-2</v>
      </c>
      <c r="AI131" s="151">
        <f t="shared" ref="AI131:AI194" si="38">200000*AH131</f>
        <v>2319.3000000000002</v>
      </c>
      <c r="AJ131">
        <f ca="1">((Main!$C$4-E131)*(200000*(H131/100))/360)*0.02577</f>
        <v>142.05712500000001</v>
      </c>
      <c r="AK131" s="152">
        <f t="shared" ref="AK131:AK194" ca="1" si="39">AJ131+AI131</f>
        <v>2461.357125</v>
      </c>
      <c r="AL131" s="153">
        <f t="shared" ref="AL131:AL194" ca="1" si="40">AK131*3.6725</f>
        <v>9039.3340415624989</v>
      </c>
    </row>
    <row r="132" spans="1:38" ht="12.75" customHeight="1" x14ac:dyDescent="0.35">
      <c r="A132" s="46" t="s">
        <v>813</v>
      </c>
      <c r="B132" s="38" t="s">
        <v>333</v>
      </c>
      <c r="C132" s="46" t="s">
        <v>813</v>
      </c>
      <c r="D132" s="22" t="s">
        <v>334</v>
      </c>
      <c r="E132" s="75">
        <f t="shared" si="31"/>
        <v>45882</v>
      </c>
      <c r="F132" s="75" t="s">
        <v>645</v>
      </c>
      <c r="G132" s="74">
        <f t="shared" si="32"/>
        <v>46247</v>
      </c>
      <c r="H132" s="19">
        <v>5.5</v>
      </c>
      <c r="I132" s="71" t="s">
        <v>19</v>
      </c>
      <c r="J132" s="2" t="s">
        <v>4</v>
      </c>
      <c r="K132" s="2" t="s">
        <v>749</v>
      </c>
      <c r="L132" s="2" t="s">
        <v>332</v>
      </c>
      <c r="M132" s="3">
        <v>0.55000000000000004</v>
      </c>
      <c r="N132" s="3"/>
      <c r="O132" s="3">
        <v>0.45</v>
      </c>
      <c r="P132" s="69">
        <f t="shared" si="30"/>
        <v>0.55000000000000004</v>
      </c>
      <c r="Q132" s="85">
        <f t="shared" si="33"/>
        <v>0.44999999999999996</v>
      </c>
      <c r="R132" s="67">
        <v>0.45</v>
      </c>
      <c r="S132" s="67"/>
      <c r="T132" s="40" t="s">
        <v>548</v>
      </c>
      <c r="U132" s="87" t="s">
        <v>928</v>
      </c>
      <c r="V132" s="137" t="s">
        <v>929</v>
      </c>
      <c r="W132" s="46" t="s">
        <v>813</v>
      </c>
      <c r="Z132" t="b">
        <f t="shared" si="34"/>
        <v>1</v>
      </c>
      <c r="AA132" s="46" t="s">
        <v>813</v>
      </c>
      <c r="AB132" s="67">
        <f t="shared" ref="AB132:AB195" si="41">R132*0.025</f>
        <v>1.1250000000000001E-2</v>
      </c>
      <c r="AC132" s="151">
        <f t="shared" si="35"/>
        <v>2250.0000000000005</v>
      </c>
      <c r="AD132" s="152">
        <f ca="1">((Main!$C$4-E132)*(200000*(H132/100))/360)*0.025</f>
        <v>144.375</v>
      </c>
      <c r="AE132" s="152">
        <f t="shared" ca="1" si="36"/>
        <v>2394.3750000000005</v>
      </c>
      <c r="AF132" s="153">
        <f t="shared" ca="1" si="37"/>
        <v>8793.3421875000022</v>
      </c>
      <c r="AH132" s="67">
        <f t="shared" ref="AH132:AH195" si="42">R132*0.02577</f>
        <v>1.1596500000000001E-2</v>
      </c>
      <c r="AI132" s="151">
        <f t="shared" si="38"/>
        <v>2319.3000000000002</v>
      </c>
      <c r="AJ132">
        <f ca="1">((Main!$C$4-E132)*(200000*(H132/100))/360)*0.02577</f>
        <v>148.82175000000001</v>
      </c>
      <c r="AK132" s="152">
        <f t="shared" ca="1" si="39"/>
        <v>2468.1217500000002</v>
      </c>
      <c r="AL132" s="153">
        <f t="shared" ca="1" si="40"/>
        <v>9064.1771268749999</v>
      </c>
    </row>
    <row r="133" spans="1:38" ht="12.75" customHeight="1" x14ac:dyDescent="0.35">
      <c r="A133" s="46" t="s">
        <v>814</v>
      </c>
      <c r="B133" s="38" t="s">
        <v>85</v>
      </c>
      <c r="C133" s="46" t="s">
        <v>814</v>
      </c>
      <c r="D133" s="22" t="s">
        <v>86</v>
      </c>
      <c r="E133" s="75">
        <f t="shared" si="31"/>
        <v>46008</v>
      </c>
      <c r="F133" s="75" t="s">
        <v>559</v>
      </c>
      <c r="G133" s="74">
        <f t="shared" si="32"/>
        <v>46373</v>
      </c>
      <c r="H133" s="19">
        <v>1.6020000000000001</v>
      </c>
      <c r="I133" s="71" t="s">
        <v>19</v>
      </c>
      <c r="J133" s="2" t="s">
        <v>4</v>
      </c>
      <c r="K133" s="2" t="s">
        <v>749</v>
      </c>
      <c r="L133" s="2" t="s">
        <v>87</v>
      </c>
      <c r="M133" s="3">
        <v>0.55000000000000004</v>
      </c>
      <c r="N133" s="3"/>
      <c r="O133" s="3">
        <v>0.45</v>
      </c>
      <c r="P133" s="69">
        <f t="shared" si="30"/>
        <v>0.55000000000000004</v>
      </c>
      <c r="Q133" s="85">
        <f t="shared" si="33"/>
        <v>0.44999999999999996</v>
      </c>
      <c r="R133" s="67">
        <v>0.45</v>
      </c>
      <c r="S133" s="67"/>
      <c r="T133" s="40" t="s">
        <v>548</v>
      </c>
      <c r="U133" s="87" t="s">
        <v>928</v>
      </c>
      <c r="V133" s="137" t="s">
        <v>929</v>
      </c>
      <c r="W133" s="46" t="s">
        <v>814</v>
      </c>
      <c r="Z133" t="b">
        <f t="shared" si="34"/>
        <v>1</v>
      </c>
      <c r="AA133" s="46" t="s">
        <v>814</v>
      </c>
      <c r="AB133" s="67">
        <f t="shared" si="41"/>
        <v>1.1250000000000001E-2</v>
      </c>
      <c r="AC133" s="151">
        <f t="shared" si="35"/>
        <v>2250.0000000000005</v>
      </c>
      <c r="AD133" s="152">
        <f ca="1">((Main!$C$4-E133)*(200000*(H133/100))/360)*0.025</f>
        <v>14.017500000000002</v>
      </c>
      <c r="AE133" s="152">
        <f t="shared" ca="1" si="36"/>
        <v>2264.0175000000004</v>
      </c>
      <c r="AF133" s="153">
        <f t="shared" ca="1" si="37"/>
        <v>8314.6042687500012</v>
      </c>
      <c r="AH133" s="67">
        <f t="shared" si="42"/>
        <v>1.1596500000000001E-2</v>
      </c>
      <c r="AI133" s="151">
        <f t="shared" si="38"/>
        <v>2319.3000000000002</v>
      </c>
      <c r="AJ133">
        <f ca="1">((Main!$C$4-E133)*(200000*(H133/100))/360)*0.02577</f>
        <v>14.449239000000002</v>
      </c>
      <c r="AK133" s="152">
        <f t="shared" ca="1" si="39"/>
        <v>2333.7492390000002</v>
      </c>
      <c r="AL133" s="153">
        <f t="shared" ca="1" si="40"/>
        <v>8570.6940802275003</v>
      </c>
    </row>
    <row r="134" spans="1:38" ht="12.75" customHeight="1" x14ac:dyDescent="0.35">
      <c r="A134" s="46" t="s">
        <v>815</v>
      </c>
      <c r="B134" s="38" t="s">
        <v>88</v>
      </c>
      <c r="C134" s="46" t="s">
        <v>815</v>
      </c>
      <c r="D134" s="22" t="s">
        <v>89</v>
      </c>
      <c r="E134" s="75">
        <f t="shared" si="31"/>
        <v>46008</v>
      </c>
      <c r="F134" s="75" t="s">
        <v>559</v>
      </c>
      <c r="G134" s="74">
        <f t="shared" si="32"/>
        <v>46373</v>
      </c>
      <c r="H134" s="19">
        <v>2.694</v>
      </c>
      <c r="I134" s="71" t="s">
        <v>19</v>
      </c>
      <c r="J134" s="2" t="s">
        <v>4</v>
      </c>
      <c r="K134" s="2" t="s">
        <v>749</v>
      </c>
      <c r="L134" s="2" t="s">
        <v>87</v>
      </c>
      <c r="M134" s="3">
        <v>0.55000000000000004</v>
      </c>
      <c r="N134" s="3"/>
      <c r="O134" s="3">
        <v>0.45</v>
      </c>
      <c r="P134" s="69">
        <f t="shared" si="30"/>
        <v>0.55000000000000004</v>
      </c>
      <c r="Q134" s="85">
        <f t="shared" si="33"/>
        <v>0.44999999999999996</v>
      </c>
      <c r="R134" s="67">
        <v>0.45</v>
      </c>
      <c r="S134" s="67"/>
      <c r="T134" s="40" t="s">
        <v>548</v>
      </c>
      <c r="U134" s="87" t="s">
        <v>928</v>
      </c>
      <c r="V134" s="137" t="s">
        <v>929</v>
      </c>
      <c r="W134" s="46" t="s">
        <v>815</v>
      </c>
      <c r="Z134" t="b">
        <f t="shared" si="34"/>
        <v>1</v>
      </c>
      <c r="AA134" s="46" t="s">
        <v>815</v>
      </c>
      <c r="AB134" s="67">
        <f t="shared" si="41"/>
        <v>1.1250000000000001E-2</v>
      </c>
      <c r="AC134" s="151">
        <f t="shared" si="35"/>
        <v>2250.0000000000005</v>
      </c>
      <c r="AD134" s="152">
        <f ca="1">((Main!$C$4-E134)*(200000*(H134/100))/360)*0.025</f>
        <v>23.572500000000002</v>
      </c>
      <c r="AE134" s="152">
        <f t="shared" ca="1" si="36"/>
        <v>2273.5725000000007</v>
      </c>
      <c r="AF134" s="153">
        <f t="shared" ca="1" si="37"/>
        <v>8349.6950062500018</v>
      </c>
      <c r="AH134" s="67">
        <f t="shared" si="42"/>
        <v>1.1596500000000001E-2</v>
      </c>
      <c r="AI134" s="151">
        <f t="shared" si="38"/>
        <v>2319.3000000000002</v>
      </c>
      <c r="AJ134">
        <f ca="1">((Main!$C$4-E134)*(200000*(H134/100))/360)*0.02577</f>
        <v>24.298532999999999</v>
      </c>
      <c r="AK134" s="152">
        <f t="shared" ca="1" si="39"/>
        <v>2343.5985330000003</v>
      </c>
      <c r="AL134" s="153">
        <f t="shared" ca="1" si="40"/>
        <v>8606.8656124425015</v>
      </c>
    </row>
    <row r="135" spans="1:38" ht="12.75" customHeight="1" x14ac:dyDescent="0.35">
      <c r="A135" s="46" t="s">
        <v>816</v>
      </c>
      <c r="B135" s="38" t="s">
        <v>90</v>
      </c>
      <c r="C135" s="46" t="s">
        <v>816</v>
      </c>
      <c r="D135" s="22" t="s">
        <v>91</v>
      </c>
      <c r="E135" s="75">
        <f t="shared" si="31"/>
        <v>45917</v>
      </c>
      <c r="F135" s="75" t="s">
        <v>608</v>
      </c>
      <c r="G135" s="74">
        <f t="shared" si="32"/>
        <v>46282</v>
      </c>
      <c r="H135" s="19">
        <f>4+1/8</f>
        <v>4.125</v>
      </c>
      <c r="I135" s="71" t="s">
        <v>19</v>
      </c>
      <c r="J135" s="2" t="s">
        <v>4</v>
      </c>
      <c r="K135" s="2" t="s">
        <v>749</v>
      </c>
      <c r="L135" s="2" t="s">
        <v>87</v>
      </c>
      <c r="M135" s="3">
        <v>0.55000000000000004</v>
      </c>
      <c r="N135" s="3"/>
      <c r="O135" s="3">
        <v>0.45</v>
      </c>
      <c r="P135" s="69">
        <f t="shared" si="30"/>
        <v>0.55000000000000004</v>
      </c>
      <c r="Q135" s="85">
        <f t="shared" si="33"/>
        <v>0.44999999999999996</v>
      </c>
      <c r="R135" s="67">
        <v>0.45</v>
      </c>
      <c r="S135" s="67"/>
      <c r="T135" s="40" t="s">
        <v>548</v>
      </c>
      <c r="U135" s="87" t="s">
        <v>928</v>
      </c>
      <c r="V135" s="137" t="s">
        <v>929</v>
      </c>
      <c r="W135" s="46" t="s">
        <v>816</v>
      </c>
      <c r="Z135" t="b">
        <f t="shared" si="34"/>
        <v>1</v>
      </c>
      <c r="AA135" s="46" t="s">
        <v>816</v>
      </c>
      <c r="AB135" s="67">
        <f t="shared" si="41"/>
        <v>1.1250000000000001E-2</v>
      </c>
      <c r="AC135" s="151">
        <f t="shared" si="35"/>
        <v>2250.0000000000005</v>
      </c>
      <c r="AD135" s="152">
        <f ca="1">((Main!$C$4-E135)*(200000*(H135/100))/360)*0.025</f>
        <v>88.229166666666671</v>
      </c>
      <c r="AE135" s="152">
        <f t="shared" ca="1" si="36"/>
        <v>2338.229166666667</v>
      </c>
      <c r="AF135" s="153">
        <f t="shared" ca="1" si="37"/>
        <v>8587.1466145833347</v>
      </c>
      <c r="AH135" s="67">
        <f t="shared" si="42"/>
        <v>1.1596500000000001E-2</v>
      </c>
      <c r="AI135" s="151">
        <f t="shared" si="38"/>
        <v>2319.3000000000002</v>
      </c>
      <c r="AJ135">
        <f ca="1">((Main!$C$4-E135)*(200000*(H135/100))/360)*0.02577</f>
        <v>90.946624999999997</v>
      </c>
      <c r="AK135" s="152">
        <f t="shared" ca="1" si="39"/>
        <v>2410.2466250000002</v>
      </c>
      <c r="AL135" s="153">
        <f t="shared" ca="1" si="40"/>
        <v>8851.6307303125013</v>
      </c>
    </row>
    <row r="136" spans="1:38" ht="12.75" customHeight="1" x14ac:dyDescent="0.35">
      <c r="A136" s="46" t="s">
        <v>817</v>
      </c>
      <c r="B136" s="38" t="s">
        <v>92</v>
      </c>
      <c r="C136" s="46" t="s">
        <v>817</v>
      </c>
      <c r="D136" s="22" t="s">
        <v>93</v>
      </c>
      <c r="E136" s="75">
        <f t="shared" si="31"/>
        <v>45932</v>
      </c>
      <c r="F136" s="75" t="s">
        <v>597</v>
      </c>
      <c r="G136" s="74">
        <f t="shared" si="32"/>
        <v>46297</v>
      </c>
      <c r="H136" s="19">
        <v>4.25</v>
      </c>
      <c r="I136" s="71" t="s">
        <v>19</v>
      </c>
      <c r="J136" s="2" t="s">
        <v>4</v>
      </c>
      <c r="K136" s="2" t="s">
        <v>749</v>
      </c>
      <c r="L136" s="2" t="s">
        <v>87</v>
      </c>
      <c r="M136" s="3">
        <v>0.55000000000000004</v>
      </c>
      <c r="N136" s="3"/>
      <c r="O136" s="3">
        <v>0.45</v>
      </c>
      <c r="P136" s="69">
        <f t="shared" si="30"/>
        <v>0.55000000000000004</v>
      </c>
      <c r="Q136" s="85">
        <f t="shared" si="33"/>
        <v>0.44999999999999996</v>
      </c>
      <c r="R136" s="67">
        <v>0.45</v>
      </c>
      <c r="S136" s="67"/>
      <c r="T136" s="40" t="s">
        <v>548</v>
      </c>
      <c r="U136" s="87" t="s">
        <v>928</v>
      </c>
      <c r="V136" s="137" t="s">
        <v>929</v>
      </c>
      <c r="W136" s="46" t="s">
        <v>817</v>
      </c>
      <c r="Z136" t="b">
        <f t="shared" si="34"/>
        <v>1</v>
      </c>
      <c r="AA136" s="46" t="s">
        <v>817</v>
      </c>
      <c r="AB136" s="67">
        <f t="shared" si="41"/>
        <v>1.1250000000000001E-2</v>
      </c>
      <c r="AC136" s="151">
        <f t="shared" si="35"/>
        <v>2250.0000000000005</v>
      </c>
      <c r="AD136" s="152">
        <f ca="1">((Main!$C$4-E136)*(200000*(H136/100))/360)*0.025</f>
        <v>82.048611111111114</v>
      </c>
      <c r="AE136" s="152">
        <f t="shared" ca="1" si="36"/>
        <v>2332.0486111111118</v>
      </c>
      <c r="AF136" s="153">
        <f t="shared" ca="1" si="37"/>
        <v>8564.4485243055569</v>
      </c>
      <c r="AH136" s="67">
        <f t="shared" si="42"/>
        <v>1.1596500000000001E-2</v>
      </c>
      <c r="AI136" s="151">
        <f t="shared" si="38"/>
        <v>2319.3000000000002</v>
      </c>
      <c r="AJ136">
        <f ca="1">((Main!$C$4-E136)*(200000*(H136/100))/360)*0.02577</f>
        <v>84.575708333333338</v>
      </c>
      <c r="AK136" s="152">
        <f t="shared" ca="1" si="39"/>
        <v>2403.8757083333335</v>
      </c>
      <c r="AL136" s="153">
        <f t="shared" ca="1" si="40"/>
        <v>8828.2335388541669</v>
      </c>
    </row>
    <row r="137" spans="1:38" ht="12.75" customHeight="1" x14ac:dyDescent="0.35">
      <c r="A137" s="46" t="s">
        <v>818</v>
      </c>
      <c r="B137" s="38" t="s">
        <v>94</v>
      </c>
      <c r="C137" s="46" t="s">
        <v>818</v>
      </c>
      <c r="D137" s="22" t="s">
        <v>95</v>
      </c>
      <c r="E137" s="75">
        <f t="shared" si="31"/>
        <v>45917</v>
      </c>
      <c r="F137" s="75" t="s">
        <v>608</v>
      </c>
      <c r="G137" s="74">
        <f t="shared" si="32"/>
        <v>46282</v>
      </c>
      <c r="H137" s="19">
        <v>4.625</v>
      </c>
      <c r="I137" s="71" t="s">
        <v>19</v>
      </c>
      <c r="J137" s="2" t="s">
        <v>4</v>
      </c>
      <c r="K137" s="2" t="s">
        <v>749</v>
      </c>
      <c r="L137" s="2" t="s">
        <v>87</v>
      </c>
      <c r="M137" s="3">
        <v>0.55000000000000004</v>
      </c>
      <c r="N137" s="3"/>
      <c r="O137" s="3">
        <v>0.45</v>
      </c>
      <c r="P137" s="69">
        <f t="shared" si="30"/>
        <v>0.55000000000000004</v>
      </c>
      <c r="Q137" s="85">
        <f t="shared" si="33"/>
        <v>0.44999999999999996</v>
      </c>
      <c r="R137" s="67">
        <v>0.45</v>
      </c>
      <c r="S137" s="67"/>
      <c r="T137" s="40" t="s">
        <v>548</v>
      </c>
      <c r="U137" s="87" t="s">
        <v>928</v>
      </c>
      <c r="V137" s="137" t="s">
        <v>929</v>
      </c>
      <c r="W137" s="46" t="s">
        <v>818</v>
      </c>
      <c r="Z137" t="b">
        <f t="shared" si="34"/>
        <v>1</v>
      </c>
      <c r="AA137" s="46" t="s">
        <v>818</v>
      </c>
      <c r="AB137" s="67">
        <f t="shared" si="41"/>
        <v>1.1250000000000001E-2</v>
      </c>
      <c r="AC137" s="151">
        <f t="shared" si="35"/>
        <v>2250.0000000000005</v>
      </c>
      <c r="AD137" s="152">
        <f ca="1">((Main!$C$4-E137)*(200000*(H137/100))/360)*0.025</f>
        <v>98.923611111111114</v>
      </c>
      <c r="AE137" s="152">
        <f t="shared" ca="1" si="36"/>
        <v>2348.9236111111118</v>
      </c>
      <c r="AF137" s="153">
        <f t="shared" ca="1" si="37"/>
        <v>8626.4219618055577</v>
      </c>
      <c r="AH137" s="67">
        <f t="shared" si="42"/>
        <v>1.1596500000000001E-2</v>
      </c>
      <c r="AI137" s="151">
        <f t="shared" si="38"/>
        <v>2319.3000000000002</v>
      </c>
      <c r="AJ137">
        <f ca="1">((Main!$C$4-E137)*(200000*(H137/100))/360)*0.02577</f>
        <v>101.97045833333334</v>
      </c>
      <c r="AK137" s="152">
        <f t="shared" ca="1" si="39"/>
        <v>2421.2704583333334</v>
      </c>
      <c r="AL137" s="153">
        <f t="shared" ca="1" si="40"/>
        <v>8892.1157582291671</v>
      </c>
    </row>
    <row r="138" spans="1:38" ht="12.75" customHeight="1" x14ac:dyDescent="0.35">
      <c r="A138" s="46" t="s">
        <v>819</v>
      </c>
      <c r="B138" s="38" t="s">
        <v>96</v>
      </c>
      <c r="C138" s="46" t="s">
        <v>819</v>
      </c>
      <c r="D138" s="22" t="s">
        <v>97</v>
      </c>
      <c r="E138" s="75">
        <f t="shared" si="31"/>
        <v>45932</v>
      </c>
      <c r="F138" s="75" t="s">
        <v>597</v>
      </c>
      <c r="G138" s="74">
        <f t="shared" si="32"/>
        <v>46297</v>
      </c>
      <c r="H138" s="19">
        <v>4.75</v>
      </c>
      <c r="I138" s="71" t="s">
        <v>19</v>
      </c>
      <c r="J138" s="2" t="s">
        <v>4</v>
      </c>
      <c r="K138" s="2" t="s">
        <v>749</v>
      </c>
      <c r="L138" s="2" t="s">
        <v>87</v>
      </c>
      <c r="M138" s="3">
        <v>0.55000000000000004</v>
      </c>
      <c r="N138" s="3"/>
      <c r="O138" s="3">
        <v>0.45</v>
      </c>
      <c r="P138" s="69">
        <f t="shared" si="30"/>
        <v>0.55000000000000004</v>
      </c>
      <c r="Q138" s="85">
        <f t="shared" si="33"/>
        <v>0.44999999999999996</v>
      </c>
      <c r="R138" s="67">
        <v>0.45</v>
      </c>
      <c r="S138" s="67"/>
      <c r="T138" s="40" t="s">
        <v>548</v>
      </c>
      <c r="U138" s="87" t="s">
        <v>928</v>
      </c>
      <c r="V138" s="137" t="s">
        <v>929</v>
      </c>
      <c r="W138" s="46" t="s">
        <v>819</v>
      </c>
      <c r="Z138" t="b">
        <f t="shared" si="34"/>
        <v>1</v>
      </c>
      <c r="AA138" s="46" t="s">
        <v>819</v>
      </c>
      <c r="AB138" s="67">
        <f t="shared" si="41"/>
        <v>1.1250000000000001E-2</v>
      </c>
      <c r="AC138" s="151">
        <f t="shared" si="35"/>
        <v>2250.0000000000005</v>
      </c>
      <c r="AD138" s="152">
        <f ca="1">((Main!$C$4-E138)*(200000*(H138/100))/360)*0.025</f>
        <v>91.7013888888889</v>
      </c>
      <c r="AE138" s="152">
        <f t="shared" ca="1" si="36"/>
        <v>2341.7013888888891</v>
      </c>
      <c r="AF138" s="153">
        <f t="shared" ca="1" si="37"/>
        <v>8599.898350694446</v>
      </c>
      <c r="AH138" s="67">
        <f t="shared" si="42"/>
        <v>1.1596500000000001E-2</v>
      </c>
      <c r="AI138" s="151">
        <f t="shared" si="38"/>
        <v>2319.3000000000002</v>
      </c>
      <c r="AJ138">
        <f ca="1">((Main!$C$4-E138)*(200000*(H138/100))/360)*0.02577</f>
        <v>94.525791666666677</v>
      </c>
      <c r="AK138" s="152">
        <f t="shared" ca="1" si="39"/>
        <v>2413.8257916666666</v>
      </c>
      <c r="AL138" s="153">
        <f t="shared" ca="1" si="40"/>
        <v>8864.7752198958333</v>
      </c>
    </row>
    <row r="139" spans="1:38" ht="12.75" customHeight="1" x14ac:dyDescent="0.35">
      <c r="A139" s="46" t="s">
        <v>820</v>
      </c>
      <c r="B139" s="38" t="s">
        <v>430</v>
      </c>
      <c r="C139" s="46" t="s">
        <v>820</v>
      </c>
      <c r="D139" s="22" t="s">
        <v>431</v>
      </c>
      <c r="E139" s="75">
        <f t="shared" si="31"/>
        <v>45938</v>
      </c>
      <c r="F139" s="75" t="s">
        <v>646</v>
      </c>
      <c r="G139" s="74">
        <f t="shared" si="32"/>
        <v>46303</v>
      </c>
      <c r="H139" s="19">
        <v>5.5</v>
      </c>
      <c r="I139" s="71" t="s">
        <v>19</v>
      </c>
      <c r="J139" s="2" t="s">
        <v>8</v>
      </c>
      <c r="K139" s="60" t="s">
        <v>746</v>
      </c>
      <c r="L139" s="2" t="s">
        <v>18</v>
      </c>
      <c r="M139" s="3">
        <v>1</v>
      </c>
      <c r="N139" s="3"/>
      <c r="O139" s="3">
        <v>0</v>
      </c>
      <c r="P139" s="69">
        <f t="shared" si="30"/>
        <v>1</v>
      </c>
      <c r="Q139" s="85"/>
      <c r="R139" s="67">
        <v>0</v>
      </c>
      <c r="S139" s="67"/>
      <c r="T139" s="40" t="s">
        <v>550</v>
      </c>
      <c r="U139" s="144" t="s">
        <v>933</v>
      </c>
      <c r="V139" s="145" t="s">
        <v>927</v>
      </c>
      <c r="W139" s="46" t="s">
        <v>820</v>
      </c>
      <c r="Z139" t="b">
        <f t="shared" si="34"/>
        <v>1</v>
      </c>
      <c r="AA139" s="46" t="s">
        <v>820</v>
      </c>
      <c r="AB139" s="67">
        <f t="shared" si="41"/>
        <v>0</v>
      </c>
      <c r="AC139" s="151">
        <f t="shared" si="35"/>
        <v>0</v>
      </c>
      <c r="AD139" s="152">
        <f ca="1">((Main!$C$4-E139)*(200000*(H139/100))/360)*0.025</f>
        <v>101.59722222222223</v>
      </c>
      <c r="AE139" s="152">
        <f t="shared" ca="1" si="36"/>
        <v>101.59722222222223</v>
      </c>
      <c r="AF139" s="153">
        <f t="shared" ca="1" si="37"/>
        <v>373.11579861111113</v>
      </c>
      <c r="AH139" s="67">
        <f t="shared" si="42"/>
        <v>0</v>
      </c>
      <c r="AI139" s="151">
        <f t="shared" si="38"/>
        <v>0</v>
      </c>
      <c r="AJ139">
        <f ca="1">((Main!$C$4-E139)*(200000*(H139/100))/360)*0.02577</f>
        <v>104.72641666666667</v>
      </c>
      <c r="AK139" s="152">
        <f t="shared" ca="1" si="39"/>
        <v>104.72641666666667</v>
      </c>
      <c r="AL139" s="153">
        <f t="shared" ca="1" si="40"/>
        <v>384.60776520833332</v>
      </c>
    </row>
    <row r="140" spans="1:38" ht="12.75" customHeight="1" x14ac:dyDescent="0.35">
      <c r="A140" s="46" t="s">
        <v>829</v>
      </c>
      <c r="B140" s="38" t="s">
        <v>449</v>
      </c>
      <c r="C140" s="46" t="s">
        <v>829</v>
      </c>
      <c r="D140" s="22" t="s">
        <v>450</v>
      </c>
      <c r="E140" s="75">
        <f t="shared" si="31"/>
        <v>45941</v>
      </c>
      <c r="F140" s="75" t="s">
        <v>648</v>
      </c>
      <c r="G140" s="74">
        <f t="shared" si="32"/>
        <v>46306</v>
      </c>
      <c r="H140" s="19">
        <v>5.6840000000000002</v>
      </c>
      <c r="I140" s="71" t="s">
        <v>19</v>
      </c>
      <c r="J140" s="2" t="s">
        <v>4</v>
      </c>
      <c r="K140" s="2" t="s">
        <v>749</v>
      </c>
      <c r="L140" s="2" t="s">
        <v>10</v>
      </c>
      <c r="M140" s="3">
        <v>0.55000000000000004</v>
      </c>
      <c r="N140" s="3"/>
      <c r="O140" s="3">
        <v>0.45</v>
      </c>
      <c r="P140" s="69">
        <f t="shared" si="30"/>
        <v>0.55000000000000004</v>
      </c>
      <c r="Q140" s="85">
        <f>1-P140</f>
        <v>0.44999999999999996</v>
      </c>
      <c r="R140" s="67">
        <v>0.45</v>
      </c>
      <c r="S140" s="67"/>
      <c r="T140" s="40" t="s">
        <v>548</v>
      </c>
      <c r="U140" s="87" t="s">
        <v>928</v>
      </c>
      <c r="V140" s="137" t="s">
        <v>929</v>
      </c>
      <c r="W140" s="46" t="s">
        <v>829</v>
      </c>
      <c r="Z140" t="b">
        <f t="shared" si="34"/>
        <v>1</v>
      </c>
      <c r="AA140" s="46" t="s">
        <v>829</v>
      </c>
      <c r="AB140" s="67">
        <f t="shared" si="41"/>
        <v>1.1250000000000001E-2</v>
      </c>
      <c r="AC140" s="151">
        <f t="shared" si="35"/>
        <v>2250.0000000000005</v>
      </c>
      <c r="AD140" s="152">
        <f ca="1">((Main!$C$4-E140)*(200000*(H140/100))/360)*0.025</f>
        <v>102.62777777777779</v>
      </c>
      <c r="AE140" s="152">
        <f t="shared" ca="1" si="36"/>
        <v>2352.6277777777782</v>
      </c>
      <c r="AF140" s="153">
        <f t="shared" ca="1" si="37"/>
        <v>8640.0255138888897</v>
      </c>
      <c r="AH140" s="67">
        <f t="shared" si="42"/>
        <v>1.1596500000000001E-2</v>
      </c>
      <c r="AI140" s="151">
        <f t="shared" si="38"/>
        <v>2319.3000000000002</v>
      </c>
      <c r="AJ140">
        <f ca="1">((Main!$C$4-E140)*(200000*(H140/100))/360)*0.02577</f>
        <v>105.78871333333335</v>
      </c>
      <c r="AK140" s="152">
        <f t="shared" ca="1" si="39"/>
        <v>2425.0887133333335</v>
      </c>
      <c r="AL140" s="153">
        <f t="shared" ca="1" si="40"/>
        <v>8906.1382997166675</v>
      </c>
    </row>
    <row r="141" spans="1:38" ht="12.75" customHeight="1" x14ac:dyDescent="0.35">
      <c r="A141" s="46" t="s">
        <v>821</v>
      </c>
      <c r="B141" s="38" t="s">
        <v>432</v>
      </c>
      <c r="C141" s="46" t="s">
        <v>821</v>
      </c>
      <c r="D141" s="22" t="s">
        <v>433</v>
      </c>
      <c r="E141" s="75">
        <f t="shared" si="31"/>
        <v>45927</v>
      </c>
      <c r="F141" s="75" t="s">
        <v>647</v>
      </c>
      <c r="G141" s="74">
        <f t="shared" si="32"/>
        <v>46292</v>
      </c>
      <c r="H141" s="19">
        <v>4.7229999999999999</v>
      </c>
      <c r="I141" s="71" t="s">
        <v>19</v>
      </c>
      <c r="J141" s="2" t="s">
        <v>8</v>
      </c>
      <c r="K141" s="60" t="s">
        <v>747</v>
      </c>
      <c r="L141" s="2" t="s">
        <v>434</v>
      </c>
      <c r="M141" s="3">
        <v>1</v>
      </c>
      <c r="N141" s="3"/>
      <c r="O141" s="3">
        <v>0</v>
      </c>
      <c r="P141" s="69">
        <f t="shared" si="30"/>
        <v>1</v>
      </c>
      <c r="Q141" s="85"/>
      <c r="R141" s="67">
        <v>0</v>
      </c>
      <c r="S141" s="67"/>
      <c r="T141" s="40" t="s">
        <v>550</v>
      </c>
      <c r="U141" s="87" t="s">
        <v>933</v>
      </c>
      <c r="V141" s="137" t="s">
        <v>927</v>
      </c>
      <c r="W141" s="46" t="s">
        <v>821</v>
      </c>
      <c r="Z141" t="b">
        <f t="shared" si="34"/>
        <v>1</v>
      </c>
      <c r="AA141" s="46" t="s">
        <v>821</v>
      </c>
      <c r="AB141" s="67">
        <f t="shared" si="41"/>
        <v>0</v>
      </c>
      <c r="AC141" s="151">
        <f t="shared" si="35"/>
        <v>0</v>
      </c>
      <c r="AD141" s="152">
        <f ca="1">((Main!$C$4-E141)*(200000*(H141/100))/360)*0.025</f>
        <v>94.460000000000008</v>
      </c>
      <c r="AE141" s="152">
        <f t="shared" ca="1" si="36"/>
        <v>94.460000000000008</v>
      </c>
      <c r="AF141" s="153">
        <f t="shared" ca="1" si="37"/>
        <v>346.90435000000002</v>
      </c>
      <c r="AH141" s="67">
        <f t="shared" si="42"/>
        <v>0</v>
      </c>
      <c r="AI141" s="151">
        <f t="shared" si="38"/>
        <v>0</v>
      </c>
      <c r="AJ141">
        <f ca="1">((Main!$C$4-E141)*(200000*(H141/100))/360)*0.02577</f>
        <v>97.369368000000009</v>
      </c>
      <c r="AK141" s="152">
        <f t="shared" ca="1" si="39"/>
        <v>97.369368000000009</v>
      </c>
      <c r="AL141" s="153">
        <f t="shared" ca="1" si="40"/>
        <v>357.58900398000003</v>
      </c>
    </row>
    <row r="142" spans="1:38" ht="12.75" customHeight="1" x14ac:dyDescent="0.35">
      <c r="A142" s="46" t="s">
        <v>822</v>
      </c>
      <c r="B142" s="38" t="s">
        <v>435</v>
      </c>
      <c r="C142" s="46" t="s">
        <v>822</v>
      </c>
      <c r="D142" s="22" t="s">
        <v>436</v>
      </c>
      <c r="E142" s="75">
        <f t="shared" si="31"/>
        <v>45938</v>
      </c>
      <c r="F142" s="75" t="s">
        <v>646</v>
      </c>
      <c r="G142" s="74">
        <f t="shared" si="32"/>
        <v>46303</v>
      </c>
      <c r="H142" s="19">
        <v>5.0599999999999996</v>
      </c>
      <c r="I142" s="71" t="s">
        <v>19</v>
      </c>
      <c r="J142" s="2" t="s">
        <v>8</v>
      </c>
      <c r="K142" s="60" t="s">
        <v>747</v>
      </c>
      <c r="L142" s="2" t="s">
        <v>18</v>
      </c>
      <c r="M142" s="3">
        <v>1</v>
      </c>
      <c r="N142" s="3"/>
      <c r="O142" s="3">
        <v>0</v>
      </c>
      <c r="P142" s="69">
        <f t="shared" si="30"/>
        <v>1</v>
      </c>
      <c r="Q142" s="85"/>
      <c r="R142" s="67">
        <v>0</v>
      </c>
      <c r="S142" s="67"/>
      <c r="T142" s="40" t="s">
        <v>550</v>
      </c>
      <c r="U142" s="144" t="s">
        <v>933</v>
      </c>
      <c r="V142" s="145" t="s">
        <v>927</v>
      </c>
      <c r="W142" s="46" t="s">
        <v>822</v>
      </c>
      <c r="Z142" t="b">
        <f t="shared" si="34"/>
        <v>1</v>
      </c>
      <c r="AA142" s="46" t="s">
        <v>822</v>
      </c>
      <c r="AB142" s="67">
        <f t="shared" si="41"/>
        <v>0</v>
      </c>
      <c r="AC142" s="151">
        <f t="shared" si="35"/>
        <v>0</v>
      </c>
      <c r="AD142" s="152">
        <f ca="1">((Main!$C$4-E142)*(200000*(H142/100))/360)*0.025</f>
        <v>93.469444444444449</v>
      </c>
      <c r="AE142" s="152">
        <f t="shared" ca="1" si="36"/>
        <v>93.469444444444449</v>
      </c>
      <c r="AF142" s="153">
        <f t="shared" ca="1" si="37"/>
        <v>343.26653472222222</v>
      </c>
      <c r="AH142" s="67">
        <f t="shared" si="42"/>
        <v>0</v>
      </c>
      <c r="AI142" s="151">
        <f t="shared" si="38"/>
        <v>0</v>
      </c>
      <c r="AJ142">
        <f ca="1">((Main!$C$4-E142)*(200000*(H142/100))/360)*0.02577</f>
        <v>96.348303333333334</v>
      </c>
      <c r="AK142" s="152">
        <f t="shared" ca="1" si="39"/>
        <v>96.348303333333334</v>
      </c>
      <c r="AL142" s="153">
        <f t="shared" ca="1" si="40"/>
        <v>353.83914399166667</v>
      </c>
    </row>
    <row r="143" spans="1:38" ht="12.75" customHeight="1" x14ac:dyDescent="0.35">
      <c r="A143" s="46" t="s">
        <v>823</v>
      </c>
      <c r="B143" s="38" t="s">
        <v>437</v>
      </c>
      <c r="C143" s="46" t="s">
        <v>823</v>
      </c>
      <c r="D143" s="22" t="s">
        <v>438</v>
      </c>
      <c r="E143" s="75">
        <f t="shared" si="31"/>
        <v>45917</v>
      </c>
      <c r="F143" s="75" t="s">
        <v>608</v>
      </c>
      <c r="G143" s="74">
        <f t="shared" si="32"/>
        <v>46282</v>
      </c>
      <c r="H143" s="19">
        <v>2.4129999999999998</v>
      </c>
      <c r="I143" s="71" t="s">
        <v>19</v>
      </c>
      <c r="J143" s="2" t="s">
        <v>8</v>
      </c>
      <c r="K143" s="60" t="s">
        <v>747</v>
      </c>
      <c r="L143" s="2" t="s">
        <v>434</v>
      </c>
      <c r="M143" s="3">
        <v>1</v>
      </c>
      <c r="N143" s="3"/>
      <c r="O143" s="3">
        <v>0</v>
      </c>
      <c r="P143" s="69">
        <f t="shared" si="30"/>
        <v>1</v>
      </c>
      <c r="Q143" s="85"/>
      <c r="R143" s="67">
        <v>0</v>
      </c>
      <c r="S143" s="67"/>
      <c r="T143" s="40" t="s">
        <v>550</v>
      </c>
      <c r="U143" s="87" t="s">
        <v>933</v>
      </c>
      <c r="V143" s="137" t="s">
        <v>927</v>
      </c>
      <c r="W143" s="46" t="s">
        <v>823</v>
      </c>
      <c r="Z143" t="b">
        <f t="shared" si="34"/>
        <v>1</v>
      </c>
      <c r="AA143" s="46" t="s">
        <v>823</v>
      </c>
      <c r="AB143" s="67">
        <f t="shared" si="41"/>
        <v>0</v>
      </c>
      <c r="AC143" s="151">
        <f t="shared" si="35"/>
        <v>0</v>
      </c>
      <c r="AD143" s="152">
        <f ca="1">((Main!$C$4-E143)*(200000*(H143/100))/360)*0.025</f>
        <v>51.611388888888897</v>
      </c>
      <c r="AE143" s="152">
        <f t="shared" ca="1" si="36"/>
        <v>51.611388888888897</v>
      </c>
      <c r="AF143" s="153">
        <f t="shared" ca="1" si="37"/>
        <v>189.54282569444447</v>
      </c>
      <c r="AH143" s="67">
        <f t="shared" si="42"/>
        <v>0</v>
      </c>
      <c r="AI143" s="151">
        <f t="shared" si="38"/>
        <v>0</v>
      </c>
      <c r="AJ143">
        <f ca="1">((Main!$C$4-E143)*(200000*(H143/100))/360)*0.02577</f>
        <v>53.201019666666674</v>
      </c>
      <c r="AK143" s="152">
        <f t="shared" ca="1" si="39"/>
        <v>53.201019666666674</v>
      </c>
      <c r="AL143" s="153">
        <f t="shared" ca="1" si="40"/>
        <v>195.38074472583335</v>
      </c>
    </row>
    <row r="144" spans="1:38" ht="12.75" customHeight="1" x14ac:dyDescent="0.35">
      <c r="A144" s="46" t="s">
        <v>824</v>
      </c>
      <c r="B144" s="38" t="s">
        <v>439</v>
      </c>
      <c r="C144" s="46" t="s">
        <v>824</v>
      </c>
      <c r="D144" s="22" t="s">
        <v>440</v>
      </c>
      <c r="E144" s="75">
        <f t="shared" si="31"/>
        <v>45941</v>
      </c>
      <c r="F144" s="75" t="s">
        <v>648</v>
      </c>
      <c r="G144" s="74">
        <f t="shared" si="32"/>
        <v>46306</v>
      </c>
      <c r="H144" s="19">
        <v>4.6319999999999997</v>
      </c>
      <c r="I144" s="71" t="s">
        <v>19</v>
      </c>
      <c r="J144" s="2" t="s">
        <v>4</v>
      </c>
      <c r="K144" s="2" t="s">
        <v>749</v>
      </c>
      <c r="L144" s="2" t="s">
        <v>10</v>
      </c>
      <c r="M144" s="3">
        <v>0.55000000000000004</v>
      </c>
      <c r="N144" s="3"/>
      <c r="O144" s="3">
        <v>0.45</v>
      </c>
      <c r="P144" s="69">
        <f t="shared" si="30"/>
        <v>0.55000000000000004</v>
      </c>
      <c r="Q144" s="85">
        <f>1-P144</f>
        <v>0.44999999999999996</v>
      </c>
      <c r="R144" s="67">
        <v>0.45</v>
      </c>
      <c r="S144" s="67"/>
      <c r="T144" s="40" t="s">
        <v>548</v>
      </c>
      <c r="U144" s="87" t="s">
        <v>928</v>
      </c>
      <c r="V144" s="137" t="s">
        <v>929</v>
      </c>
      <c r="W144" s="46" t="s">
        <v>824</v>
      </c>
      <c r="Z144" t="b">
        <f t="shared" si="34"/>
        <v>1</v>
      </c>
      <c r="AA144" s="46" t="s">
        <v>824</v>
      </c>
      <c r="AB144" s="67">
        <f t="shared" si="41"/>
        <v>1.1250000000000001E-2</v>
      </c>
      <c r="AC144" s="151">
        <f t="shared" si="35"/>
        <v>2250.0000000000005</v>
      </c>
      <c r="AD144" s="152">
        <f ca="1">((Main!$C$4-E144)*(200000*(H144/100))/360)*0.025</f>
        <v>83.63333333333334</v>
      </c>
      <c r="AE144" s="152">
        <f t="shared" ca="1" si="36"/>
        <v>2333.6333333333337</v>
      </c>
      <c r="AF144" s="153">
        <f t="shared" ca="1" si="37"/>
        <v>8570.2684166666677</v>
      </c>
      <c r="AH144" s="67">
        <f t="shared" si="42"/>
        <v>1.1596500000000001E-2</v>
      </c>
      <c r="AI144" s="151">
        <f t="shared" si="38"/>
        <v>2319.3000000000002</v>
      </c>
      <c r="AJ144">
        <f ca="1">((Main!$C$4-E144)*(200000*(H144/100))/360)*0.02577</f>
        <v>86.209240000000008</v>
      </c>
      <c r="AK144" s="152">
        <f t="shared" ca="1" si="39"/>
        <v>2405.5092400000003</v>
      </c>
      <c r="AL144" s="153">
        <f t="shared" ca="1" si="40"/>
        <v>8834.2326839000016</v>
      </c>
    </row>
    <row r="145" spans="1:38" ht="12.75" customHeight="1" x14ac:dyDescent="0.35">
      <c r="A145" s="46" t="s">
        <v>825</v>
      </c>
      <c r="B145" s="38" t="s">
        <v>441</v>
      </c>
      <c r="C145" s="46" t="s">
        <v>825</v>
      </c>
      <c r="D145" s="22" t="s">
        <v>442</v>
      </c>
      <c r="E145" s="75">
        <f t="shared" si="31"/>
        <v>45882</v>
      </c>
      <c r="F145" s="75" t="s">
        <v>645</v>
      </c>
      <c r="G145" s="74">
        <f t="shared" si="32"/>
        <v>46247</v>
      </c>
      <c r="H145" s="19">
        <v>4.9420000000000002</v>
      </c>
      <c r="I145" s="71" t="s">
        <v>19</v>
      </c>
      <c r="J145" s="2" t="s">
        <v>4</v>
      </c>
      <c r="K145" s="2" t="s">
        <v>749</v>
      </c>
      <c r="L145" s="2" t="s">
        <v>10</v>
      </c>
      <c r="M145" s="3">
        <v>0.55000000000000004</v>
      </c>
      <c r="N145" s="3"/>
      <c r="O145" s="3">
        <v>0.45</v>
      </c>
      <c r="P145" s="69">
        <f t="shared" si="30"/>
        <v>0.55000000000000004</v>
      </c>
      <c r="Q145" s="85">
        <f>1-P145</f>
        <v>0.44999999999999996</v>
      </c>
      <c r="R145" s="67">
        <v>0.45</v>
      </c>
      <c r="S145" s="67"/>
      <c r="T145" s="40" t="s">
        <v>548</v>
      </c>
      <c r="U145" s="87" t="s">
        <v>928</v>
      </c>
      <c r="V145" s="137" t="s">
        <v>929</v>
      </c>
      <c r="W145" s="46" t="s">
        <v>825</v>
      </c>
      <c r="Z145" t="b">
        <f t="shared" si="34"/>
        <v>1</v>
      </c>
      <c r="AA145" s="46" t="s">
        <v>825</v>
      </c>
      <c r="AB145" s="67">
        <f t="shared" si="41"/>
        <v>1.1250000000000001E-2</v>
      </c>
      <c r="AC145" s="151">
        <f t="shared" si="35"/>
        <v>2250.0000000000005</v>
      </c>
      <c r="AD145" s="152">
        <f ca="1">((Main!$C$4-E145)*(200000*(H145/100))/360)*0.025</f>
        <v>129.72750000000002</v>
      </c>
      <c r="AE145" s="152">
        <f t="shared" ca="1" si="36"/>
        <v>2379.7275000000004</v>
      </c>
      <c r="AF145" s="153">
        <f t="shared" ca="1" si="37"/>
        <v>8739.5492437500016</v>
      </c>
      <c r="AH145" s="67">
        <f t="shared" si="42"/>
        <v>1.1596500000000001E-2</v>
      </c>
      <c r="AI145" s="151">
        <f t="shared" si="38"/>
        <v>2319.3000000000002</v>
      </c>
      <c r="AJ145">
        <f ca="1">((Main!$C$4-E145)*(200000*(H145/100))/360)*0.02577</f>
        <v>133.72310700000003</v>
      </c>
      <c r="AK145" s="152">
        <f t="shared" ca="1" si="39"/>
        <v>2453.023107</v>
      </c>
      <c r="AL145" s="153">
        <f t="shared" ca="1" si="40"/>
        <v>9008.7273604575003</v>
      </c>
    </row>
    <row r="146" spans="1:38" ht="12.75" customHeight="1" x14ac:dyDescent="0.35">
      <c r="A146" s="46" t="s">
        <v>826</v>
      </c>
      <c r="B146" s="38" t="s">
        <v>443</v>
      </c>
      <c r="C146" s="46" t="s">
        <v>826</v>
      </c>
      <c r="D146" s="22" t="s">
        <v>444</v>
      </c>
      <c r="E146" s="75">
        <f t="shared" si="31"/>
        <v>45882</v>
      </c>
      <c r="F146" s="75" t="s">
        <v>645</v>
      </c>
      <c r="G146" s="74">
        <f t="shared" si="32"/>
        <v>46247</v>
      </c>
      <c r="H146" s="19">
        <v>5.194</v>
      </c>
      <c r="I146" s="71" t="s">
        <v>19</v>
      </c>
      <c r="J146" s="2" t="s">
        <v>4</v>
      </c>
      <c r="K146" s="2" t="s">
        <v>749</v>
      </c>
      <c r="L146" s="2" t="s">
        <v>10</v>
      </c>
      <c r="M146" s="3">
        <v>0.55000000000000004</v>
      </c>
      <c r="N146" s="3"/>
      <c r="O146" s="3">
        <v>0.45</v>
      </c>
      <c r="P146" s="69">
        <f t="shared" si="30"/>
        <v>0.55000000000000004</v>
      </c>
      <c r="Q146" s="85">
        <f>1-P146</f>
        <v>0.44999999999999996</v>
      </c>
      <c r="R146" s="67">
        <v>0.45</v>
      </c>
      <c r="S146" s="67"/>
      <c r="T146" s="40" t="s">
        <v>548</v>
      </c>
      <c r="U146" s="87" t="s">
        <v>928</v>
      </c>
      <c r="V146" s="137" t="s">
        <v>929</v>
      </c>
      <c r="W146" s="46" t="s">
        <v>826</v>
      </c>
      <c r="Z146" t="b">
        <f t="shared" si="34"/>
        <v>1</v>
      </c>
      <c r="AA146" s="46" t="s">
        <v>826</v>
      </c>
      <c r="AB146" s="67">
        <f t="shared" si="41"/>
        <v>1.1250000000000001E-2</v>
      </c>
      <c r="AC146" s="151">
        <f t="shared" si="35"/>
        <v>2250.0000000000005</v>
      </c>
      <c r="AD146" s="152">
        <f ca="1">((Main!$C$4-E146)*(200000*(H146/100))/360)*0.025</f>
        <v>136.3425</v>
      </c>
      <c r="AE146" s="152">
        <f t="shared" ca="1" si="36"/>
        <v>2386.3425000000007</v>
      </c>
      <c r="AF146" s="153">
        <f t="shared" ca="1" si="37"/>
        <v>8763.8428312500018</v>
      </c>
      <c r="AH146" s="67">
        <f t="shared" si="42"/>
        <v>1.1596500000000001E-2</v>
      </c>
      <c r="AI146" s="151">
        <f t="shared" si="38"/>
        <v>2319.3000000000002</v>
      </c>
      <c r="AJ146">
        <f ca="1">((Main!$C$4-E146)*(200000*(H146/100))/360)*0.02577</f>
        <v>140.54184900000001</v>
      </c>
      <c r="AK146" s="152">
        <f t="shared" ca="1" si="39"/>
        <v>2459.8418490000004</v>
      </c>
      <c r="AL146" s="153">
        <f t="shared" ca="1" si="40"/>
        <v>9033.7691904525018</v>
      </c>
    </row>
    <row r="147" spans="1:38" ht="12.75" customHeight="1" x14ac:dyDescent="0.35">
      <c r="A147" s="46" t="s">
        <v>827</v>
      </c>
      <c r="B147" s="38" t="s">
        <v>445</v>
      </c>
      <c r="C147" s="46" t="s">
        <v>827</v>
      </c>
      <c r="D147" s="22" t="s">
        <v>446</v>
      </c>
      <c r="E147" s="75">
        <f t="shared" si="31"/>
        <v>45887</v>
      </c>
      <c r="F147" s="75" t="s">
        <v>649</v>
      </c>
      <c r="G147" s="74">
        <f t="shared" si="32"/>
        <v>46252</v>
      </c>
      <c r="H147" s="19">
        <v>5.2249999999999996</v>
      </c>
      <c r="I147" s="71" t="s">
        <v>19</v>
      </c>
      <c r="J147" s="2" t="s">
        <v>4</v>
      </c>
      <c r="K147" s="2" t="s">
        <v>749</v>
      </c>
      <c r="L147" s="2" t="s">
        <v>10</v>
      </c>
      <c r="M147" s="3">
        <v>0.55000000000000004</v>
      </c>
      <c r="N147" s="3"/>
      <c r="O147" s="3">
        <v>0.45</v>
      </c>
      <c r="P147" s="69">
        <f t="shared" si="30"/>
        <v>0.55000000000000004</v>
      </c>
      <c r="Q147" s="85">
        <f>1-P147</f>
        <v>0.44999999999999996</v>
      </c>
      <c r="R147" s="67">
        <v>0.45</v>
      </c>
      <c r="S147" s="67"/>
      <c r="T147" s="40" t="s">
        <v>548</v>
      </c>
      <c r="U147" s="87" t="s">
        <v>928</v>
      </c>
      <c r="V147" s="137" t="s">
        <v>929</v>
      </c>
      <c r="W147" s="46" t="s">
        <v>827</v>
      </c>
      <c r="Z147" t="b">
        <f t="shared" si="34"/>
        <v>1</v>
      </c>
      <c r="AA147" s="46" t="s">
        <v>827</v>
      </c>
      <c r="AB147" s="67">
        <f t="shared" si="41"/>
        <v>1.1250000000000001E-2</v>
      </c>
      <c r="AC147" s="151">
        <f t="shared" si="35"/>
        <v>2250.0000000000005</v>
      </c>
      <c r="AD147" s="152">
        <f ca="1">((Main!$C$4-E147)*(200000*(H147/100))/360)*0.025</f>
        <v>133.5277777777778</v>
      </c>
      <c r="AE147" s="152">
        <f t="shared" ca="1" si="36"/>
        <v>2383.5277777777783</v>
      </c>
      <c r="AF147" s="153">
        <f t="shared" ca="1" si="37"/>
        <v>8753.5057638888902</v>
      </c>
      <c r="AH147" s="67">
        <f t="shared" si="42"/>
        <v>1.1596500000000001E-2</v>
      </c>
      <c r="AI147" s="151">
        <f t="shared" si="38"/>
        <v>2319.3000000000002</v>
      </c>
      <c r="AJ147">
        <f ca="1">((Main!$C$4-E147)*(200000*(H147/100))/360)*0.02577</f>
        <v>137.64043333333333</v>
      </c>
      <c r="AK147" s="152">
        <f t="shared" ca="1" si="39"/>
        <v>2456.9404333333337</v>
      </c>
      <c r="AL147" s="153">
        <f t="shared" ca="1" si="40"/>
        <v>9023.1137414166678</v>
      </c>
    </row>
    <row r="148" spans="1:38" ht="12.75" customHeight="1" x14ac:dyDescent="0.35">
      <c r="A148" s="46" t="s">
        <v>828</v>
      </c>
      <c r="B148" s="38" t="s">
        <v>447</v>
      </c>
      <c r="C148" s="46" t="s">
        <v>828</v>
      </c>
      <c r="D148" s="22" t="s">
        <v>448</v>
      </c>
      <c r="E148" s="75">
        <f t="shared" si="31"/>
        <v>45887</v>
      </c>
      <c r="F148" s="75" t="s">
        <v>649</v>
      </c>
      <c r="G148" s="74">
        <f t="shared" si="32"/>
        <v>46252</v>
      </c>
      <c r="H148" s="19">
        <v>5.4889999999999999</v>
      </c>
      <c r="I148" s="71" t="s">
        <v>19</v>
      </c>
      <c r="J148" s="2" t="s">
        <v>4</v>
      </c>
      <c r="K148" s="2" t="s">
        <v>749</v>
      </c>
      <c r="L148" s="2" t="s">
        <v>10</v>
      </c>
      <c r="M148" s="3">
        <v>0.55000000000000004</v>
      </c>
      <c r="N148" s="3"/>
      <c r="O148" s="3">
        <v>0.45</v>
      </c>
      <c r="P148" s="69">
        <f t="shared" si="30"/>
        <v>0.55000000000000004</v>
      </c>
      <c r="Q148" s="85">
        <f>1-P148</f>
        <v>0.44999999999999996</v>
      </c>
      <c r="R148" s="67">
        <v>0.45</v>
      </c>
      <c r="S148" s="67"/>
      <c r="T148" s="40" t="s">
        <v>548</v>
      </c>
      <c r="U148" s="87" t="s">
        <v>928</v>
      </c>
      <c r="V148" s="137" t="s">
        <v>929</v>
      </c>
      <c r="W148" s="46" t="s">
        <v>828</v>
      </c>
      <c r="Z148" t="b">
        <f t="shared" si="34"/>
        <v>1</v>
      </c>
      <c r="AA148" s="46" t="s">
        <v>828</v>
      </c>
      <c r="AB148" s="67">
        <f t="shared" si="41"/>
        <v>1.1250000000000001E-2</v>
      </c>
      <c r="AC148" s="151">
        <f t="shared" si="35"/>
        <v>2250.0000000000005</v>
      </c>
      <c r="AD148" s="152">
        <f ca="1">((Main!$C$4-E148)*(200000*(H148/100))/360)*0.025</f>
        <v>140.27444444444447</v>
      </c>
      <c r="AE148" s="152">
        <f t="shared" ca="1" si="36"/>
        <v>2390.2744444444447</v>
      </c>
      <c r="AF148" s="153">
        <f t="shared" ca="1" si="37"/>
        <v>8778.2828972222233</v>
      </c>
      <c r="AH148" s="67">
        <f t="shared" si="42"/>
        <v>1.1596500000000001E-2</v>
      </c>
      <c r="AI148" s="151">
        <f t="shared" si="38"/>
        <v>2319.3000000000002</v>
      </c>
      <c r="AJ148">
        <f ca="1">((Main!$C$4-E148)*(200000*(H148/100))/360)*0.02577</f>
        <v>144.59489733333334</v>
      </c>
      <c r="AK148" s="152">
        <f t="shared" ca="1" si="39"/>
        <v>2463.8948973333336</v>
      </c>
      <c r="AL148" s="153">
        <f t="shared" ca="1" si="40"/>
        <v>9048.6540104566666</v>
      </c>
    </row>
    <row r="149" spans="1:38" ht="12.75" customHeight="1" x14ac:dyDescent="0.35">
      <c r="A149" s="46" t="s">
        <v>830</v>
      </c>
      <c r="B149" s="38" t="s">
        <v>469</v>
      </c>
      <c r="C149" s="46" t="s">
        <v>830</v>
      </c>
      <c r="D149" s="22" t="s">
        <v>470</v>
      </c>
      <c r="E149" s="75">
        <f t="shared" si="31"/>
        <v>45895</v>
      </c>
      <c r="F149" s="75" t="s">
        <v>590</v>
      </c>
      <c r="G149" s="74">
        <f t="shared" si="32"/>
        <v>46260</v>
      </c>
      <c r="H149" s="19">
        <v>5.2</v>
      </c>
      <c r="I149" s="71" t="s">
        <v>19</v>
      </c>
      <c r="J149" s="158" t="s">
        <v>6</v>
      </c>
      <c r="K149" s="162" t="s">
        <v>732</v>
      </c>
      <c r="L149" s="159" t="s">
        <v>45</v>
      </c>
      <c r="M149" s="3">
        <v>1</v>
      </c>
      <c r="N149" s="3"/>
      <c r="O149" s="3">
        <v>0</v>
      </c>
      <c r="P149" s="69">
        <f t="shared" si="30"/>
        <v>1</v>
      </c>
      <c r="Q149" s="85"/>
      <c r="R149" s="67">
        <v>0.66669999999999996</v>
      </c>
      <c r="S149" s="67"/>
      <c r="T149" s="40"/>
      <c r="U149" s="161" t="s">
        <v>949</v>
      </c>
      <c r="V149" s="174" t="s">
        <v>962</v>
      </c>
      <c r="W149" s="46" t="s">
        <v>830</v>
      </c>
      <c r="Z149" t="b">
        <f t="shared" si="34"/>
        <v>1</v>
      </c>
      <c r="AA149" s="46" t="s">
        <v>830</v>
      </c>
      <c r="AB149" s="67">
        <f t="shared" si="41"/>
        <v>1.6667499999999998E-2</v>
      </c>
      <c r="AC149" s="151">
        <f t="shared" si="35"/>
        <v>3333.4999999999995</v>
      </c>
      <c r="AD149" s="152">
        <f ca="1">((Main!$C$4-E149)*(200000*(H149/100))/360)*0.025</f>
        <v>127.11111111111114</v>
      </c>
      <c r="AE149" s="152">
        <f t="shared" ca="1" si="36"/>
        <v>3460.6111111111109</v>
      </c>
      <c r="AF149" s="153">
        <f t="shared" ca="1" si="37"/>
        <v>12709.094305555554</v>
      </c>
      <c r="AH149" s="67">
        <f t="shared" si="42"/>
        <v>1.7180859E-2</v>
      </c>
      <c r="AI149" s="151">
        <f t="shared" si="38"/>
        <v>3436.1718000000001</v>
      </c>
      <c r="AJ149">
        <f ca="1">((Main!$C$4-E149)*(200000*(H149/100))/360)*0.02577</f>
        <v>131.02613333333335</v>
      </c>
      <c r="AK149" s="152">
        <f t="shared" ca="1" si="39"/>
        <v>3567.1979333333334</v>
      </c>
      <c r="AL149" s="153">
        <f t="shared" ca="1" si="40"/>
        <v>13100.534410166667</v>
      </c>
    </row>
    <row r="150" spans="1:38" ht="12.75" customHeight="1" x14ac:dyDescent="0.35">
      <c r="A150" s="46" t="s">
        <v>831</v>
      </c>
      <c r="B150" s="38" t="s">
        <v>471</v>
      </c>
      <c r="C150" s="46" t="s">
        <v>831</v>
      </c>
      <c r="D150" s="22" t="s">
        <v>472</v>
      </c>
      <c r="E150" s="75">
        <f t="shared" si="31"/>
        <v>45995</v>
      </c>
      <c r="F150" s="75" t="s">
        <v>564</v>
      </c>
      <c r="G150" s="74">
        <f t="shared" si="32"/>
        <v>46360</v>
      </c>
      <c r="H150" s="19">
        <v>6.125</v>
      </c>
      <c r="I150" s="71" t="s">
        <v>19</v>
      </c>
      <c r="J150" s="2" t="s">
        <v>11</v>
      </c>
      <c r="K150" s="2" t="s">
        <v>751</v>
      </c>
      <c r="L150" s="2" t="s">
        <v>12</v>
      </c>
      <c r="M150" s="3">
        <v>1</v>
      </c>
      <c r="N150" s="3"/>
      <c r="O150" s="3">
        <v>0</v>
      </c>
      <c r="P150" s="69">
        <v>0</v>
      </c>
      <c r="Q150" s="85"/>
      <c r="R150" s="67">
        <v>1</v>
      </c>
      <c r="S150" s="67"/>
      <c r="T150" s="40"/>
      <c r="U150" s="87" t="s">
        <v>937</v>
      </c>
      <c r="V150" s="141" t="s">
        <v>936</v>
      </c>
      <c r="W150" s="46" t="s">
        <v>831</v>
      </c>
      <c r="Z150" t="b">
        <f t="shared" si="34"/>
        <v>1</v>
      </c>
      <c r="AA150" s="46" t="s">
        <v>831</v>
      </c>
      <c r="AB150" s="67">
        <f t="shared" si="41"/>
        <v>2.5000000000000001E-2</v>
      </c>
      <c r="AC150" s="151">
        <f t="shared" si="35"/>
        <v>5000</v>
      </c>
      <c r="AD150" s="152">
        <f ca="1">((Main!$C$4-E150)*(200000*(H150/100))/360)*0.025</f>
        <v>64.652777777777786</v>
      </c>
      <c r="AE150" s="152">
        <f t="shared" ca="1" si="36"/>
        <v>5064.6527777777774</v>
      </c>
      <c r="AF150" s="153">
        <f t="shared" ca="1" si="37"/>
        <v>18599.937326388888</v>
      </c>
      <c r="AH150" s="67">
        <f t="shared" si="42"/>
        <v>2.5770000000000001E-2</v>
      </c>
      <c r="AI150" s="151">
        <f t="shared" si="38"/>
        <v>5154</v>
      </c>
      <c r="AJ150">
        <f ca="1">((Main!$C$4-E150)*(200000*(H150/100))/360)*0.02577</f>
        <v>66.644083333333342</v>
      </c>
      <c r="AK150" s="152">
        <f t="shared" ca="1" si="39"/>
        <v>5220.6440833333336</v>
      </c>
      <c r="AL150" s="153">
        <f t="shared" ca="1" si="40"/>
        <v>19172.815396041668</v>
      </c>
    </row>
    <row r="151" spans="1:38" ht="12.75" customHeight="1" x14ac:dyDescent="0.35">
      <c r="A151" s="46" t="s">
        <v>832</v>
      </c>
      <c r="B151" s="38" t="s">
        <v>473</v>
      </c>
      <c r="C151" s="46" t="s">
        <v>832</v>
      </c>
      <c r="D151" s="22" t="s">
        <v>474</v>
      </c>
      <c r="E151" s="75">
        <f t="shared" si="31"/>
        <v>46025</v>
      </c>
      <c r="F151" s="75" t="s">
        <v>650</v>
      </c>
      <c r="G151" s="74">
        <f t="shared" si="32"/>
        <v>46390</v>
      </c>
      <c r="H151" s="19">
        <v>5.25</v>
      </c>
      <c r="I151" s="71" t="s">
        <v>19</v>
      </c>
      <c r="J151" s="158" t="s">
        <v>6</v>
      </c>
      <c r="K151" s="162" t="s">
        <v>732</v>
      </c>
      <c r="L151" s="159" t="s">
        <v>45</v>
      </c>
      <c r="M151" s="3">
        <v>1</v>
      </c>
      <c r="N151" s="3"/>
      <c r="O151" s="3">
        <v>0</v>
      </c>
      <c r="P151" s="69">
        <f>M151</f>
        <v>1</v>
      </c>
      <c r="Q151" s="85"/>
      <c r="R151" s="67">
        <v>0.66669999999999996</v>
      </c>
      <c r="S151" s="67"/>
      <c r="T151" s="40"/>
      <c r="U151" s="161" t="s">
        <v>949</v>
      </c>
      <c r="V151" s="174" t="s">
        <v>962</v>
      </c>
      <c r="W151" s="46" t="s">
        <v>832</v>
      </c>
      <c r="Z151" t="b">
        <f t="shared" si="34"/>
        <v>1</v>
      </c>
      <c r="AA151" s="46" t="s">
        <v>832</v>
      </c>
      <c r="AB151" s="67">
        <f t="shared" si="41"/>
        <v>1.6667499999999998E-2</v>
      </c>
      <c r="AC151" s="151">
        <f t="shared" si="35"/>
        <v>3333.4999999999995</v>
      </c>
      <c r="AD151" s="152">
        <f ca="1">((Main!$C$4-E151)*(200000*(H151/100))/360)*0.025</f>
        <v>33.541666666666671</v>
      </c>
      <c r="AE151" s="152">
        <f t="shared" ca="1" si="36"/>
        <v>3367.0416666666661</v>
      </c>
      <c r="AF151" s="153">
        <f t="shared" ca="1" si="37"/>
        <v>12365.460520833331</v>
      </c>
      <c r="AH151" s="67">
        <f t="shared" si="42"/>
        <v>1.7180859E-2</v>
      </c>
      <c r="AI151" s="151">
        <f t="shared" si="38"/>
        <v>3436.1718000000001</v>
      </c>
      <c r="AJ151">
        <f ca="1">((Main!$C$4-E151)*(200000*(H151/100))/360)*0.02577</f>
        <v>34.574750000000002</v>
      </c>
      <c r="AK151" s="152">
        <f t="shared" ca="1" si="39"/>
        <v>3470.7465500000003</v>
      </c>
      <c r="AL151" s="153">
        <f t="shared" ca="1" si="40"/>
        <v>12746.316704875</v>
      </c>
    </row>
    <row r="152" spans="1:38" ht="12.75" customHeight="1" x14ac:dyDescent="0.35">
      <c r="A152" s="46" t="s">
        <v>833</v>
      </c>
      <c r="B152" s="38" t="s">
        <v>479</v>
      </c>
      <c r="C152" s="46" t="s">
        <v>833</v>
      </c>
      <c r="D152" s="22" t="s">
        <v>480</v>
      </c>
      <c r="E152" s="75">
        <f t="shared" si="31"/>
        <v>45911</v>
      </c>
      <c r="F152" s="75" t="s">
        <v>651</v>
      </c>
      <c r="G152" s="74">
        <f t="shared" si="32"/>
        <v>46276</v>
      </c>
      <c r="H152" s="19">
        <v>7.125</v>
      </c>
      <c r="I152" s="71" t="s">
        <v>19</v>
      </c>
      <c r="J152" s="2" t="s">
        <v>4</v>
      </c>
      <c r="K152" s="2" t="s">
        <v>749</v>
      </c>
      <c r="L152" s="2" t="s">
        <v>5</v>
      </c>
      <c r="M152" s="3">
        <v>0.55000000000000004</v>
      </c>
      <c r="N152" s="3"/>
      <c r="O152" s="3">
        <v>0.45</v>
      </c>
      <c r="P152" s="69">
        <f>M152</f>
        <v>0.55000000000000004</v>
      </c>
      <c r="Q152" s="85">
        <f>1-P152</f>
        <v>0.44999999999999996</v>
      </c>
      <c r="R152" s="67">
        <v>0.45</v>
      </c>
      <c r="S152" s="67"/>
      <c r="T152" s="40" t="s">
        <v>548</v>
      </c>
      <c r="U152" s="87" t="s">
        <v>928</v>
      </c>
      <c r="V152" s="137" t="s">
        <v>929</v>
      </c>
      <c r="W152" s="46" t="s">
        <v>833</v>
      </c>
      <c r="Z152" t="b">
        <f t="shared" si="34"/>
        <v>1</v>
      </c>
      <c r="AA152" s="46" t="s">
        <v>833</v>
      </c>
      <c r="AB152" s="67">
        <f t="shared" si="41"/>
        <v>1.1250000000000001E-2</v>
      </c>
      <c r="AC152" s="151">
        <f t="shared" si="35"/>
        <v>2250.0000000000005</v>
      </c>
      <c r="AD152" s="152">
        <f ca="1">((Main!$C$4-E152)*(200000*(H152/100))/360)*0.025</f>
        <v>158.33333333333331</v>
      </c>
      <c r="AE152" s="152">
        <f t="shared" ca="1" si="36"/>
        <v>2408.3333333333339</v>
      </c>
      <c r="AF152" s="153">
        <f t="shared" ca="1" si="37"/>
        <v>8844.6041666666679</v>
      </c>
      <c r="AH152" s="67">
        <f t="shared" si="42"/>
        <v>1.1596500000000001E-2</v>
      </c>
      <c r="AI152" s="151">
        <f t="shared" si="38"/>
        <v>2319.3000000000002</v>
      </c>
      <c r="AJ152">
        <f ca="1">((Main!$C$4-E152)*(200000*(H152/100))/360)*0.02577</f>
        <v>163.20999999999998</v>
      </c>
      <c r="AK152" s="152">
        <f t="shared" ca="1" si="39"/>
        <v>2482.5100000000002</v>
      </c>
      <c r="AL152" s="153">
        <f t="shared" ca="1" si="40"/>
        <v>9117.0179750000007</v>
      </c>
    </row>
    <row r="153" spans="1:38" ht="12.75" customHeight="1" x14ac:dyDescent="0.35">
      <c r="A153" s="46" t="s">
        <v>834</v>
      </c>
      <c r="B153" s="38" t="s">
        <v>481</v>
      </c>
      <c r="C153" s="46" t="s">
        <v>834</v>
      </c>
      <c r="D153" s="22" t="s">
        <v>482</v>
      </c>
      <c r="E153" s="75">
        <f t="shared" si="31"/>
        <v>45980</v>
      </c>
      <c r="F153" s="75" t="s">
        <v>575</v>
      </c>
      <c r="G153" s="74">
        <f t="shared" si="32"/>
        <v>46345</v>
      </c>
      <c r="H153" s="19">
        <v>7.9954999999999998</v>
      </c>
      <c r="I153" s="71" t="s">
        <v>19</v>
      </c>
      <c r="J153" s="2" t="s">
        <v>4</v>
      </c>
      <c r="K153" s="2" t="s">
        <v>749</v>
      </c>
      <c r="L153" s="2" t="s">
        <v>5</v>
      </c>
      <c r="M153" s="3">
        <v>0.55000000000000004</v>
      </c>
      <c r="N153" s="3"/>
      <c r="O153" s="3">
        <v>0.45</v>
      </c>
      <c r="P153" s="69">
        <f>M153</f>
        <v>0.55000000000000004</v>
      </c>
      <c r="Q153" s="85">
        <f>1-P153</f>
        <v>0.44999999999999996</v>
      </c>
      <c r="R153" s="67">
        <v>0.45</v>
      </c>
      <c r="S153" s="67"/>
      <c r="T153" s="40" t="s">
        <v>548</v>
      </c>
      <c r="U153" s="87" t="s">
        <v>928</v>
      </c>
      <c r="V153" s="137" t="s">
        <v>929</v>
      </c>
      <c r="W153" s="46" t="s">
        <v>834</v>
      </c>
      <c r="Z153" t="b">
        <f t="shared" si="34"/>
        <v>1</v>
      </c>
      <c r="AA153" s="46" t="s">
        <v>834</v>
      </c>
      <c r="AB153" s="67">
        <f t="shared" si="41"/>
        <v>1.1250000000000001E-2</v>
      </c>
      <c r="AC153" s="151">
        <f t="shared" si="35"/>
        <v>2250.0000000000005</v>
      </c>
      <c r="AD153" s="152">
        <f ca="1">((Main!$C$4-E153)*(200000*(H153/100))/360)*0.025</f>
        <v>101.05423611111111</v>
      </c>
      <c r="AE153" s="152">
        <f t="shared" ca="1" si="36"/>
        <v>2351.0542361111115</v>
      </c>
      <c r="AF153" s="153">
        <f t="shared" ca="1" si="37"/>
        <v>8634.2466821180569</v>
      </c>
      <c r="AH153" s="67">
        <f t="shared" si="42"/>
        <v>1.1596500000000001E-2</v>
      </c>
      <c r="AI153" s="151">
        <f t="shared" si="38"/>
        <v>2319.3000000000002</v>
      </c>
      <c r="AJ153">
        <f ca="1">((Main!$C$4-E153)*(200000*(H153/100))/360)*0.02577</f>
        <v>104.16670658333334</v>
      </c>
      <c r="AK153" s="152">
        <f t="shared" ca="1" si="39"/>
        <v>2423.4667065833337</v>
      </c>
      <c r="AL153" s="153">
        <f t="shared" ca="1" si="40"/>
        <v>8900.1814799272925</v>
      </c>
    </row>
    <row r="154" spans="1:38" ht="12.75" customHeight="1" x14ac:dyDescent="0.35">
      <c r="A154" s="46" t="s">
        <v>835</v>
      </c>
      <c r="B154" s="38" t="s">
        <v>483</v>
      </c>
      <c r="C154" s="46" t="s">
        <v>835</v>
      </c>
      <c r="D154" s="22" t="s">
        <v>484</v>
      </c>
      <c r="E154" s="75">
        <f t="shared" si="31"/>
        <v>46039</v>
      </c>
      <c r="F154" s="75" t="s">
        <v>613</v>
      </c>
      <c r="G154" s="74">
        <f t="shared" si="32"/>
        <v>46404</v>
      </c>
      <c r="H154" s="19">
        <v>8.75</v>
      </c>
      <c r="I154" s="71" t="s">
        <v>19</v>
      </c>
      <c r="J154" s="2" t="s">
        <v>4</v>
      </c>
      <c r="K154" s="2" t="s">
        <v>749</v>
      </c>
      <c r="L154" s="2" t="s">
        <v>5</v>
      </c>
      <c r="M154" s="3">
        <v>0.55000000000000004</v>
      </c>
      <c r="N154" s="3"/>
      <c r="O154" s="3">
        <v>0.45</v>
      </c>
      <c r="P154" s="69">
        <f>M154</f>
        <v>0.55000000000000004</v>
      </c>
      <c r="Q154" s="85">
        <f>1-P154</f>
        <v>0.44999999999999996</v>
      </c>
      <c r="R154" s="67">
        <v>0.45</v>
      </c>
      <c r="S154" s="67"/>
      <c r="T154" s="40" t="s">
        <v>548</v>
      </c>
      <c r="U154" s="87" t="s">
        <v>928</v>
      </c>
      <c r="V154" s="137" t="s">
        <v>929</v>
      </c>
      <c r="W154" s="46" t="s">
        <v>835</v>
      </c>
      <c r="Z154" t="b">
        <f t="shared" si="34"/>
        <v>1</v>
      </c>
      <c r="AA154" s="46" t="s">
        <v>835</v>
      </c>
      <c r="AB154" s="67">
        <f t="shared" si="41"/>
        <v>1.1250000000000001E-2</v>
      </c>
      <c r="AC154" s="151">
        <f t="shared" si="35"/>
        <v>2250.0000000000005</v>
      </c>
      <c r="AD154" s="152">
        <f ca="1">((Main!$C$4-E154)*(200000*(H154/100))/360)*0.025</f>
        <v>38.888888888888893</v>
      </c>
      <c r="AE154" s="152">
        <f t="shared" ca="1" si="36"/>
        <v>2288.8888888888891</v>
      </c>
      <c r="AF154" s="153">
        <f t="shared" ca="1" si="37"/>
        <v>8405.9444444444453</v>
      </c>
      <c r="AH154" s="67">
        <f t="shared" si="42"/>
        <v>1.1596500000000001E-2</v>
      </c>
      <c r="AI154" s="151">
        <f t="shared" si="38"/>
        <v>2319.3000000000002</v>
      </c>
      <c r="AJ154">
        <f ca="1">((Main!$C$4-E154)*(200000*(H154/100))/360)*0.02577</f>
        <v>40.086666666666673</v>
      </c>
      <c r="AK154" s="152">
        <f t="shared" ca="1" si="39"/>
        <v>2359.3866666666668</v>
      </c>
      <c r="AL154" s="153">
        <f t="shared" ca="1" si="40"/>
        <v>8664.8475333333336</v>
      </c>
    </row>
    <row r="155" spans="1:38" ht="12.75" customHeight="1" x14ac:dyDescent="0.35">
      <c r="A155" s="46" t="s">
        <v>491</v>
      </c>
      <c r="B155" s="38" t="s">
        <v>492</v>
      </c>
      <c r="C155" s="46" t="s">
        <v>491</v>
      </c>
      <c r="D155" s="22" t="s">
        <v>493</v>
      </c>
      <c r="E155" s="75">
        <f t="shared" si="31"/>
        <v>45949</v>
      </c>
      <c r="F155" s="75" t="s">
        <v>602</v>
      </c>
      <c r="G155" s="74">
        <f t="shared" si="32"/>
        <v>46314</v>
      </c>
      <c r="H155" s="19">
        <v>3.2440000000000002</v>
      </c>
      <c r="I155" s="71" t="s">
        <v>19</v>
      </c>
      <c r="J155" s="60" t="s">
        <v>943</v>
      </c>
      <c r="K155" s="1" t="s">
        <v>757</v>
      </c>
      <c r="L155" s="1" t="s">
        <v>494</v>
      </c>
      <c r="M155" s="3">
        <v>0.51</v>
      </c>
      <c r="N155" s="47"/>
      <c r="O155" s="3">
        <v>0.49</v>
      </c>
      <c r="P155" s="69">
        <f>M155-N155</f>
        <v>0.51</v>
      </c>
      <c r="Q155" s="85"/>
      <c r="R155" s="67">
        <v>0.49</v>
      </c>
      <c r="S155" s="67"/>
      <c r="T155" s="40" t="s">
        <v>549</v>
      </c>
      <c r="U155" s="87" t="s">
        <v>944</v>
      </c>
      <c r="V155" s="141" t="s">
        <v>945</v>
      </c>
      <c r="W155" s="46" t="s">
        <v>491</v>
      </c>
      <c r="Z155" t="b">
        <f t="shared" si="34"/>
        <v>1</v>
      </c>
      <c r="AA155" s="46" t="s">
        <v>491</v>
      </c>
      <c r="AB155" s="67">
        <f t="shared" si="41"/>
        <v>1.225E-2</v>
      </c>
      <c r="AC155" s="151">
        <f t="shared" si="35"/>
        <v>2450</v>
      </c>
      <c r="AD155" s="152">
        <f ca="1">((Main!$C$4-E155)*(200000*(H155/100))/360)*0.025</f>
        <v>54.967777777777783</v>
      </c>
      <c r="AE155" s="152">
        <f t="shared" ca="1" si="36"/>
        <v>2504.9677777777779</v>
      </c>
      <c r="AF155" s="153">
        <f t="shared" ca="1" si="37"/>
        <v>9199.4941638888886</v>
      </c>
      <c r="AH155" s="67">
        <f t="shared" si="42"/>
        <v>1.2627300000000001E-2</v>
      </c>
      <c r="AI155" s="151">
        <f t="shared" si="38"/>
        <v>2525.46</v>
      </c>
      <c r="AJ155">
        <f ca="1">((Main!$C$4-E155)*(200000*(H155/100))/360)*0.02577</f>
        <v>56.660785333333337</v>
      </c>
      <c r="AK155" s="152">
        <f t="shared" ca="1" si="39"/>
        <v>2582.1207853333335</v>
      </c>
      <c r="AL155" s="153">
        <f t="shared" ca="1" si="40"/>
        <v>9482.8385841366671</v>
      </c>
    </row>
    <row r="156" spans="1:38" ht="12.75" customHeight="1" x14ac:dyDescent="0.35">
      <c r="A156" s="46" t="s">
        <v>836</v>
      </c>
      <c r="B156" s="38" t="s">
        <v>202</v>
      </c>
      <c r="C156" s="46" t="s">
        <v>836</v>
      </c>
      <c r="D156" s="22" t="s">
        <v>203</v>
      </c>
      <c r="E156" s="75">
        <f t="shared" si="31"/>
        <v>45897</v>
      </c>
      <c r="F156" s="75" t="s">
        <v>588</v>
      </c>
      <c r="G156" s="74">
        <f t="shared" si="32"/>
        <v>46262</v>
      </c>
      <c r="H156" s="19">
        <v>10.875</v>
      </c>
      <c r="I156" s="71" t="s">
        <v>19</v>
      </c>
      <c r="J156" s="2" t="s">
        <v>8</v>
      </c>
      <c r="K156" s="60" t="s">
        <v>741</v>
      </c>
      <c r="L156" s="2" t="s">
        <v>5</v>
      </c>
      <c r="M156" s="3">
        <v>1</v>
      </c>
      <c r="N156" s="3"/>
      <c r="O156" s="3">
        <v>0</v>
      </c>
      <c r="P156" s="69">
        <f>M156</f>
        <v>1</v>
      </c>
      <c r="Q156" s="85"/>
      <c r="R156" s="67">
        <v>0</v>
      </c>
      <c r="S156" s="67"/>
      <c r="T156" s="40" t="s">
        <v>550</v>
      </c>
      <c r="U156" s="144" t="s">
        <v>933</v>
      </c>
      <c r="V156" s="145" t="s">
        <v>927</v>
      </c>
      <c r="W156" s="46" t="s">
        <v>836</v>
      </c>
      <c r="Z156" t="b">
        <f t="shared" si="34"/>
        <v>1</v>
      </c>
      <c r="AA156" s="46" t="s">
        <v>836</v>
      </c>
      <c r="AB156" s="67">
        <f t="shared" si="41"/>
        <v>0</v>
      </c>
      <c r="AC156" s="151">
        <f t="shared" si="35"/>
        <v>0</v>
      </c>
      <c r="AD156" s="152">
        <f ca="1">((Main!$C$4-E156)*(200000*(H156/100))/360)*0.025</f>
        <v>262.8125</v>
      </c>
      <c r="AE156" s="152">
        <f t="shared" ca="1" si="36"/>
        <v>262.8125</v>
      </c>
      <c r="AF156" s="153">
        <f t="shared" ca="1" si="37"/>
        <v>965.17890624999995</v>
      </c>
      <c r="AH156" s="67">
        <f t="shared" si="42"/>
        <v>0</v>
      </c>
      <c r="AI156" s="151">
        <f t="shared" si="38"/>
        <v>0</v>
      </c>
      <c r="AJ156">
        <f ca="1">((Main!$C$4-E156)*(200000*(H156/100))/360)*0.02577</f>
        <v>270.90712500000001</v>
      </c>
      <c r="AK156" s="152">
        <f t="shared" ca="1" si="39"/>
        <v>270.90712500000001</v>
      </c>
      <c r="AL156" s="153">
        <f t="shared" ca="1" si="40"/>
        <v>994.9064165625</v>
      </c>
    </row>
    <row r="157" spans="1:38" ht="12.75" customHeight="1" x14ac:dyDescent="0.35">
      <c r="A157" s="46" t="s">
        <v>837</v>
      </c>
      <c r="B157" s="38" t="s">
        <v>204</v>
      </c>
      <c r="C157" s="46" t="s">
        <v>837</v>
      </c>
      <c r="D157" s="22" t="s">
        <v>205</v>
      </c>
      <c r="E157" s="75">
        <f t="shared" si="31"/>
        <v>45937</v>
      </c>
      <c r="F157" s="75" t="s">
        <v>652</v>
      </c>
      <c r="G157" s="74">
        <f t="shared" si="32"/>
        <v>46302</v>
      </c>
      <c r="H157" s="19">
        <v>6.375</v>
      </c>
      <c r="I157" s="71" t="s">
        <v>19</v>
      </c>
      <c r="J157" s="2" t="s">
        <v>8</v>
      </c>
      <c r="K157" s="60" t="s">
        <v>741</v>
      </c>
      <c r="L157" s="2" t="s">
        <v>5</v>
      </c>
      <c r="M157" s="3">
        <v>1</v>
      </c>
      <c r="N157" s="3"/>
      <c r="O157" s="3">
        <v>0</v>
      </c>
      <c r="P157" s="69">
        <f>M157</f>
        <v>1</v>
      </c>
      <c r="Q157" s="85"/>
      <c r="R157" s="67">
        <v>0</v>
      </c>
      <c r="S157" s="67"/>
      <c r="T157" s="40" t="s">
        <v>550</v>
      </c>
      <c r="U157" s="87" t="s">
        <v>933</v>
      </c>
      <c r="V157" s="137" t="s">
        <v>927</v>
      </c>
      <c r="W157" s="46" t="s">
        <v>837</v>
      </c>
      <c r="Z157" t="b">
        <f t="shared" si="34"/>
        <v>1</v>
      </c>
      <c r="AA157" s="46" t="s">
        <v>837</v>
      </c>
      <c r="AB157" s="67">
        <f t="shared" si="41"/>
        <v>0</v>
      </c>
      <c r="AC157" s="151">
        <f t="shared" si="35"/>
        <v>0</v>
      </c>
      <c r="AD157" s="152">
        <f ca="1">((Main!$C$4-E157)*(200000*(H157/100))/360)*0.025</f>
        <v>118.64583333333333</v>
      </c>
      <c r="AE157" s="152">
        <f t="shared" ca="1" si="36"/>
        <v>118.64583333333333</v>
      </c>
      <c r="AF157" s="153">
        <f t="shared" ca="1" si="37"/>
        <v>435.72682291666666</v>
      </c>
      <c r="AH157" s="67">
        <f t="shared" si="42"/>
        <v>0</v>
      </c>
      <c r="AI157" s="151">
        <f t="shared" si="38"/>
        <v>0</v>
      </c>
      <c r="AJ157">
        <f ca="1">((Main!$C$4-E157)*(200000*(H157/100))/360)*0.02577</f>
        <v>122.30012499999999</v>
      </c>
      <c r="AK157" s="152">
        <f t="shared" ca="1" si="39"/>
        <v>122.30012499999999</v>
      </c>
      <c r="AL157" s="153">
        <f t="shared" ca="1" si="40"/>
        <v>449.14720906249994</v>
      </c>
    </row>
    <row r="158" spans="1:38" ht="12.75" customHeight="1" x14ac:dyDescent="0.35">
      <c r="A158" s="46" t="s">
        <v>838</v>
      </c>
      <c r="B158" s="38" t="s">
        <v>206</v>
      </c>
      <c r="C158" s="46" t="s">
        <v>838</v>
      </c>
      <c r="D158" s="22" t="s">
        <v>207</v>
      </c>
      <c r="E158" s="75">
        <f t="shared" si="31"/>
        <v>46016</v>
      </c>
      <c r="F158" s="75" t="s">
        <v>653</v>
      </c>
      <c r="G158" s="74">
        <f t="shared" si="32"/>
        <v>46381</v>
      </c>
      <c r="H158" s="19">
        <f>7+7/8</f>
        <v>7.875</v>
      </c>
      <c r="I158" s="71" t="s">
        <v>19</v>
      </c>
      <c r="J158" s="2" t="s">
        <v>8</v>
      </c>
      <c r="K158" s="60" t="s">
        <v>741</v>
      </c>
      <c r="L158" s="2" t="s">
        <v>5</v>
      </c>
      <c r="M158" s="3">
        <v>1</v>
      </c>
      <c r="N158" s="3"/>
      <c r="O158" s="3">
        <v>0</v>
      </c>
      <c r="P158" s="69">
        <f>M158</f>
        <v>1</v>
      </c>
      <c r="Q158" s="85"/>
      <c r="R158" s="67">
        <v>0</v>
      </c>
      <c r="S158" s="67"/>
      <c r="T158" s="40" t="s">
        <v>550</v>
      </c>
      <c r="U158" s="142" t="s">
        <v>933</v>
      </c>
      <c r="V158" s="143" t="s">
        <v>927</v>
      </c>
      <c r="W158" s="46" t="s">
        <v>838</v>
      </c>
      <c r="Z158" t="b">
        <f t="shared" si="34"/>
        <v>1</v>
      </c>
      <c r="AA158" s="46" t="s">
        <v>838</v>
      </c>
      <c r="AB158" s="67">
        <f t="shared" si="41"/>
        <v>0</v>
      </c>
      <c r="AC158" s="151">
        <f t="shared" si="35"/>
        <v>0</v>
      </c>
      <c r="AD158" s="152">
        <f ca="1">((Main!$C$4-E158)*(200000*(H158/100))/360)*0.025</f>
        <v>60.15625</v>
      </c>
      <c r="AE158" s="152">
        <f t="shared" ca="1" si="36"/>
        <v>60.15625</v>
      </c>
      <c r="AF158" s="153">
        <f t="shared" ca="1" si="37"/>
        <v>220.923828125</v>
      </c>
      <c r="AH158" s="67">
        <f t="shared" si="42"/>
        <v>0</v>
      </c>
      <c r="AI158" s="151">
        <f t="shared" si="38"/>
        <v>0</v>
      </c>
      <c r="AJ158">
        <f ca="1">((Main!$C$4-E158)*(200000*(H158/100))/360)*0.02577</f>
        <v>62.009062500000006</v>
      </c>
      <c r="AK158" s="152">
        <f t="shared" ca="1" si="39"/>
        <v>62.009062500000006</v>
      </c>
      <c r="AL158" s="153">
        <f t="shared" ca="1" si="40"/>
        <v>227.72828203125002</v>
      </c>
    </row>
    <row r="159" spans="1:38" ht="12.75" customHeight="1" x14ac:dyDescent="0.35">
      <c r="A159" s="46" t="s">
        <v>839</v>
      </c>
      <c r="B159" s="38" t="s">
        <v>208</v>
      </c>
      <c r="C159" s="46" t="s">
        <v>839</v>
      </c>
      <c r="D159" s="22" t="s">
        <v>209</v>
      </c>
      <c r="E159" s="75">
        <f t="shared" si="31"/>
        <v>45937</v>
      </c>
      <c r="F159" s="75" t="s">
        <v>652</v>
      </c>
      <c r="G159" s="74">
        <f t="shared" si="32"/>
        <v>46302</v>
      </c>
      <c r="H159" s="19">
        <v>7.95</v>
      </c>
      <c r="I159" s="71" t="s">
        <v>19</v>
      </c>
      <c r="J159" s="2" t="s">
        <v>8</v>
      </c>
      <c r="K159" s="60" t="s">
        <v>741</v>
      </c>
      <c r="L159" s="2" t="s">
        <v>5</v>
      </c>
      <c r="M159" s="3">
        <v>1</v>
      </c>
      <c r="N159" s="3"/>
      <c r="O159" s="3">
        <v>0</v>
      </c>
      <c r="P159" s="69">
        <f>M159</f>
        <v>1</v>
      </c>
      <c r="Q159" s="85"/>
      <c r="R159" s="67">
        <v>0</v>
      </c>
      <c r="S159" s="67"/>
      <c r="T159" s="40" t="s">
        <v>550</v>
      </c>
      <c r="U159" s="87" t="s">
        <v>933</v>
      </c>
      <c r="V159" s="137" t="s">
        <v>927</v>
      </c>
      <c r="W159" s="46" t="s">
        <v>839</v>
      </c>
      <c r="Z159" t="b">
        <f t="shared" si="34"/>
        <v>1</v>
      </c>
      <c r="AA159" s="46" t="s">
        <v>839</v>
      </c>
      <c r="AB159" s="67">
        <f t="shared" si="41"/>
        <v>0</v>
      </c>
      <c r="AC159" s="151">
        <f t="shared" si="35"/>
        <v>0</v>
      </c>
      <c r="AD159" s="152">
        <f ca="1">((Main!$C$4-E159)*(200000*(H159/100))/360)*0.025</f>
        <v>147.95833333333334</v>
      </c>
      <c r="AE159" s="152">
        <f t="shared" ca="1" si="36"/>
        <v>147.95833333333334</v>
      </c>
      <c r="AF159" s="153">
        <f t="shared" ca="1" si="37"/>
        <v>543.37697916666673</v>
      </c>
      <c r="AH159" s="67">
        <f t="shared" si="42"/>
        <v>0</v>
      </c>
      <c r="AI159" s="151">
        <f t="shared" si="38"/>
        <v>0</v>
      </c>
      <c r="AJ159">
        <f ca="1">((Main!$C$4-E159)*(200000*(H159/100))/360)*0.02577</f>
        <v>152.51544999999999</v>
      </c>
      <c r="AK159" s="152">
        <f t="shared" ca="1" si="39"/>
        <v>152.51544999999999</v>
      </c>
      <c r="AL159" s="153">
        <f t="shared" ca="1" si="40"/>
        <v>560.1129901249999</v>
      </c>
    </row>
    <row r="160" spans="1:38" ht="12.75" customHeight="1" x14ac:dyDescent="0.35">
      <c r="A160" s="46" t="s">
        <v>840</v>
      </c>
      <c r="B160" s="38" t="s">
        <v>350</v>
      </c>
      <c r="C160" s="46" t="s">
        <v>840</v>
      </c>
      <c r="D160" s="22" t="s">
        <v>351</v>
      </c>
      <c r="E160" s="75">
        <f t="shared" si="31"/>
        <v>45958</v>
      </c>
      <c r="F160" s="75" t="s">
        <v>654</v>
      </c>
      <c r="G160" s="74">
        <f t="shared" si="32"/>
        <v>46323</v>
      </c>
      <c r="H160" s="19">
        <v>2.0699999999999998</v>
      </c>
      <c r="I160" s="71" t="s">
        <v>19</v>
      </c>
      <c r="J160" s="2" t="s">
        <v>6</v>
      </c>
      <c r="K160" s="2" t="s">
        <v>739</v>
      </c>
      <c r="L160" s="64" t="s">
        <v>352</v>
      </c>
      <c r="M160" s="3">
        <v>1</v>
      </c>
      <c r="N160" s="3"/>
      <c r="O160" s="3">
        <v>0</v>
      </c>
      <c r="P160" s="69">
        <v>0</v>
      </c>
      <c r="Q160" s="85"/>
      <c r="R160" s="67">
        <v>1</v>
      </c>
      <c r="S160" s="67"/>
      <c r="T160" s="40"/>
      <c r="U160" s="87" t="s">
        <v>939</v>
      </c>
      <c r="V160" s="137" t="s">
        <v>940</v>
      </c>
      <c r="W160" s="46" t="s">
        <v>840</v>
      </c>
      <c r="Z160" t="b">
        <f t="shared" si="34"/>
        <v>1</v>
      </c>
      <c r="AA160" s="46" t="s">
        <v>840</v>
      </c>
      <c r="AB160" s="67">
        <f t="shared" si="41"/>
        <v>2.5000000000000001E-2</v>
      </c>
      <c r="AC160" s="151">
        <f t="shared" si="35"/>
        <v>5000</v>
      </c>
      <c r="AD160" s="152">
        <f ca="1">((Main!$C$4-E160)*(200000*(H160/100))/360)*0.025</f>
        <v>32.487500000000004</v>
      </c>
      <c r="AE160" s="152">
        <f t="shared" ca="1" si="36"/>
        <v>5032.4875000000002</v>
      </c>
      <c r="AF160" s="153">
        <f t="shared" ca="1" si="37"/>
        <v>18481.810343749999</v>
      </c>
      <c r="AH160" s="67">
        <f t="shared" si="42"/>
        <v>2.5770000000000001E-2</v>
      </c>
      <c r="AI160" s="151">
        <f t="shared" si="38"/>
        <v>5154</v>
      </c>
      <c r="AJ160">
        <f ca="1">((Main!$C$4-E160)*(200000*(H160/100))/360)*0.02577</f>
        <v>33.488115000000001</v>
      </c>
      <c r="AK160" s="152">
        <f t="shared" ca="1" si="39"/>
        <v>5187.4881150000001</v>
      </c>
      <c r="AL160" s="153">
        <f t="shared" ca="1" si="40"/>
        <v>19051.0501023375</v>
      </c>
    </row>
    <row r="161" spans="1:38" ht="12.75" customHeight="1" x14ac:dyDescent="0.35">
      <c r="A161" s="46" t="s">
        <v>841</v>
      </c>
      <c r="B161" s="38" t="s">
        <v>353</v>
      </c>
      <c r="C161" s="46" t="s">
        <v>841</v>
      </c>
      <c r="D161" s="22" t="s">
        <v>354</v>
      </c>
      <c r="E161" s="75">
        <f t="shared" si="31"/>
        <v>45958</v>
      </c>
      <c r="F161" s="75" t="s">
        <v>654</v>
      </c>
      <c r="G161" s="74">
        <f t="shared" si="32"/>
        <v>46323</v>
      </c>
      <c r="H161" s="19">
        <v>3.0750000000000002</v>
      </c>
      <c r="I161" s="71" t="s">
        <v>19</v>
      </c>
      <c r="J161" s="2" t="s">
        <v>6</v>
      </c>
      <c r="K161" s="2" t="s">
        <v>739</v>
      </c>
      <c r="L161" s="64" t="s">
        <v>352</v>
      </c>
      <c r="M161" s="3">
        <v>1</v>
      </c>
      <c r="N161" s="3"/>
      <c r="O161" s="3">
        <v>0</v>
      </c>
      <c r="P161" s="69">
        <v>0</v>
      </c>
      <c r="Q161" s="85"/>
      <c r="R161" s="67">
        <v>1</v>
      </c>
      <c r="S161" s="67"/>
      <c r="T161" s="40"/>
      <c r="U161" s="87" t="s">
        <v>939</v>
      </c>
      <c r="V161" s="137" t="s">
        <v>940</v>
      </c>
      <c r="W161" s="46" t="s">
        <v>841</v>
      </c>
      <c r="Z161" t="b">
        <f t="shared" si="34"/>
        <v>1</v>
      </c>
      <c r="AA161" s="46" t="s">
        <v>841</v>
      </c>
      <c r="AB161" s="67">
        <f t="shared" si="41"/>
        <v>2.5000000000000001E-2</v>
      </c>
      <c r="AC161" s="151">
        <f t="shared" si="35"/>
        <v>5000</v>
      </c>
      <c r="AD161" s="152">
        <f ca="1">((Main!$C$4-E161)*(200000*(H161/100))/360)*0.025</f>
        <v>48.260416666666679</v>
      </c>
      <c r="AE161" s="152">
        <f t="shared" ca="1" si="36"/>
        <v>5048.260416666667</v>
      </c>
      <c r="AF161" s="153">
        <f t="shared" ca="1" si="37"/>
        <v>18539.736380208335</v>
      </c>
      <c r="AH161" s="67">
        <f t="shared" si="42"/>
        <v>2.5770000000000001E-2</v>
      </c>
      <c r="AI161" s="151">
        <f t="shared" si="38"/>
        <v>5154</v>
      </c>
      <c r="AJ161">
        <f ca="1">((Main!$C$4-E161)*(200000*(H161/100))/360)*0.02577</f>
        <v>49.746837500000012</v>
      </c>
      <c r="AK161" s="152">
        <f t="shared" ca="1" si="39"/>
        <v>5203.7468374999999</v>
      </c>
      <c r="AL161" s="153">
        <f t="shared" ca="1" si="40"/>
        <v>19110.760260718747</v>
      </c>
    </row>
    <row r="162" spans="1:38" ht="12.75" customHeight="1" x14ac:dyDescent="0.35">
      <c r="A162" s="46" t="s">
        <v>419</v>
      </c>
      <c r="B162" s="38" t="s">
        <v>420</v>
      </c>
      <c r="C162" s="46" t="s">
        <v>419</v>
      </c>
      <c r="D162" s="22" t="s">
        <v>421</v>
      </c>
      <c r="E162" s="75">
        <f t="shared" si="31"/>
        <v>45912</v>
      </c>
      <c r="F162" s="75" t="s">
        <v>576</v>
      </c>
      <c r="G162" s="74">
        <f t="shared" si="32"/>
        <v>46277</v>
      </c>
      <c r="H162" s="19">
        <v>5</v>
      </c>
      <c r="I162" s="71" t="s">
        <v>19</v>
      </c>
      <c r="J162" s="2" t="s">
        <v>4</v>
      </c>
      <c r="K162" s="2" t="s">
        <v>749</v>
      </c>
      <c r="L162" s="27" t="s">
        <v>5</v>
      </c>
      <c r="M162" s="3">
        <v>0.55000000000000004</v>
      </c>
      <c r="N162" s="3"/>
      <c r="O162" s="3">
        <v>0.45</v>
      </c>
      <c r="P162" s="69">
        <f t="shared" ref="P162:P216" si="43">M162</f>
        <v>0.55000000000000004</v>
      </c>
      <c r="Q162" s="85">
        <f t="shared" ref="Q162:Q171" si="44">1-P162</f>
        <v>0.44999999999999996</v>
      </c>
      <c r="R162" s="67">
        <v>0.45</v>
      </c>
      <c r="S162" s="67"/>
      <c r="T162" s="40" t="s">
        <v>548</v>
      </c>
      <c r="U162" s="87" t="s">
        <v>928</v>
      </c>
      <c r="V162" s="137" t="s">
        <v>929</v>
      </c>
      <c r="W162" s="46" t="s">
        <v>419</v>
      </c>
      <c r="Z162" t="b">
        <f t="shared" si="34"/>
        <v>1</v>
      </c>
      <c r="AA162" s="46" t="s">
        <v>419</v>
      </c>
      <c r="AB162" s="67">
        <f t="shared" si="41"/>
        <v>1.1250000000000001E-2</v>
      </c>
      <c r="AC162" s="151">
        <f t="shared" si="35"/>
        <v>2250.0000000000005</v>
      </c>
      <c r="AD162" s="152">
        <f ca="1">((Main!$C$4-E162)*(200000*(H162/100))/360)*0.025</f>
        <v>110.41666666666669</v>
      </c>
      <c r="AE162" s="152">
        <f t="shared" ca="1" si="36"/>
        <v>2360.416666666667</v>
      </c>
      <c r="AF162" s="153">
        <f t="shared" ca="1" si="37"/>
        <v>8668.6302083333339</v>
      </c>
      <c r="AH162" s="67">
        <f t="shared" si="42"/>
        <v>1.1596500000000001E-2</v>
      </c>
      <c r="AI162" s="151">
        <f t="shared" si="38"/>
        <v>2319.3000000000002</v>
      </c>
      <c r="AJ162">
        <f ca="1">((Main!$C$4-E162)*(200000*(H162/100))/360)*0.02577</f>
        <v>113.81750000000001</v>
      </c>
      <c r="AK162" s="152">
        <f t="shared" ca="1" si="39"/>
        <v>2433.1175000000003</v>
      </c>
      <c r="AL162" s="153">
        <f t="shared" ca="1" si="40"/>
        <v>8935.6240187500007</v>
      </c>
    </row>
    <row r="163" spans="1:38" ht="12.75" customHeight="1" x14ac:dyDescent="0.35">
      <c r="A163" s="46" t="s">
        <v>842</v>
      </c>
      <c r="B163" s="38" t="s">
        <v>451</v>
      </c>
      <c r="C163" s="46" t="s">
        <v>842</v>
      </c>
      <c r="D163" s="22" t="s">
        <v>452</v>
      </c>
      <c r="E163" s="75">
        <f t="shared" si="31"/>
        <v>46001</v>
      </c>
      <c r="F163" s="75" t="s">
        <v>655</v>
      </c>
      <c r="G163" s="74">
        <f t="shared" si="32"/>
        <v>46366</v>
      </c>
      <c r="H163" s="19">
        <v>2.9420000000000002</v>
      </c>
      <c r="I163" s="71" t="s">
        <v>19</v>
      </c>
      <c r="J163" s="2" t="s">
        <v>4</v>
      </c>
      <c r="K163" s="2" t="s">
        <v>749</v>
      </c>
      <c r="L163" s="27" t="s">
        <v>5</v>
      </c>
      <c r="M163" s="3">
        <v>0.55000000000000004</v>
      </c>
      <c r="N163" s="3"/>
      <c r="O163" s="3">
        <v>0.45</v>
      </c>
      <c r="P163" s="69">
        <f t="shared" si="43"/>
        <v>0.55000000000000004</v>
      </c>
      <c r="Q163" s="85">
        <f t="shared" si="44"/>
        <v>0.44999999999999996</v>
      </c>
      <c r="R163" s="67">
        <v>0.45</v>
      </c>
      <c r="S163" s="67"/>
      <c r="T163" s="40" t="s">
        <v>548</v>
      </c>
      <c r="U163" s="87" t="s">
        <v>928</v>
      </c>
      <c r="V163" s="137" t="s">
        <v>929</v>
      </c>
      <c r="W163" s="46" t="s">
        <v>842</v>
      </c>
      <c r="Z163" t="b">
        <f t="shared" si="34"/>
        <v>1</v>
      </c>
      <c r="AA163" s="46" t="s">
        <v>842</v>
      </c>
      <c r="AB163" s="67">
        <f t="shared" si="41"/>
        <v>1.1250000000000001E-2</v>
      </c>
      <c r="AC163" s="151">
        <f t="shared" si="35"/>
        <v>2250.0000000000005</v>
      </c>
      <c r="AD163" s="152">
        <f ca="1">((Main!$C$4-E163)*(200000*(H163/100))/360)*0.025</f>
        <v>28.602777777777778</v>
      </c>
      <c r="AE163" s="152">
        <f t="shared" ca="1" si="36"/>
        <v>2278.6027777777781</v>
      </c>
      <c r="AF163" s="153">
        <f t="shared" ca="1" si="37"/>
        <v>8368.1687013888895</v>
      </c>
      <c r="AH163" s="67">
        <f t="shared" si="42"/>
        <v>1.1596500000000001E-2</v>
      </c>
      <c r="AI163" s="151">
        <f t="shared" si="38"/>
        <v>2319.3000000000002</v>
      </c>
      <c r="AJ163">
        <f ca="1">((Main!$C$4-E163)*(200000*(H163/100))/360)*0.02577</f>
        <v>29.483743333333333</v>
      </c>
      <c r="AK163" s="152">
        <f t="shared" ca="1" si="39"/>
        <v>2348.7837433333334</v>
      </c>
      <c r="AL163" s="153">
        <f t="shared" ca="1" si="40"/>
        <v>8625.9082973916666</v>
      </c>
    </row>
    <row r="164" spans="1:38" ht="12.75" customHeight="1" x14ac:dyDescent="0.35">
      <c r="A164" s="46" t="s">
        <v>843</v>
      </c>
      <c r="B164" s="38" t="s">
        <v>453</v>
      </c>
      <c r="C164" s="46" t="s">
        <v>843</v>
      </c>
      <c r="D164" s="22" t="s">
        <v>454</v>
      </c>
      <c r="E164" s="75">
        <f t="shared" si="31"/>
        <v>45934</v>
      </c>
      <c r="F164" s="75" t="s">
        <v>639</v>
      </c>
      <c r="G164" s="74">
        <f t="shared" si="32"/>
        <v>46299</v>
      </c>
      <c r="H164" s="19">
        <v>3.8860000000000001</v>
      </c>
      <c r="I164" s="71" t="s">
        <v>19</v>
      </c>
      <c r="J164" s="2" t="s">
        <v>4</v>
      </c>
      <c r="K164" s="2" t="s">
        <v>749</v>
      </c>
      <c r="L164" s="27" t="s">
        <v>5</v>
      </c>
      <c r="M164" s="3">
        <v>0.55000000000000004</v>
      </c>
      <c r="N164" s="3"/>
      <c r="O164" s="3">
        <v>0.45</v>
      </c>
      <c r="P164" s="69">
        <f t="shared" si="43"/>
        <v>0.55000000000000004</v>
      </c>
      <c r="Q164" s="85">
        <f t="shared" si="44"/>
        <v>0.44999999999999996</v>
      </c>
      <c r="R164" s="67">
        <v>0.45</v>
      </c>
      <c r="S164" s="67"/>
      <c r="T164" s="40" t="s">
        <v>548</v>
      </c>
      <c r="U164" s="87" t="s">
        <v>928</v>
      </c>
      <c r="V164" s="137" t="s">
        <v>929</v>
      </c>
      <c r="W164" s="46" t="s">
        <v>843</v>
      </c>
      <c r="Z164" t="b">
        <f t="shared" si="34"/>
        <v>1</v>
      </c>
      <c r="AA164" s="46" t="s">
        <v>843</v>
      </c>
      <c r="AB164" s="67">
        <f t="shared" si="41"/>
        <v>1.1250000000000001E-2</v>
      </c>
      <c r="AC164" s="151">
        <f t="shared" si="35"/>
        <v>2250.0000000000005</v>
      </c>
      <c r="AD164" s="152">
        <f ca="1">((Main!$C$4-E164)*(200000*(H164/100))/360)*0.025</f>
        <v>73.941944444444445</v>
      </c>
      <c r="AE164" s="152">
        <f t="shared" ca="1" si="36"/>
        <v>2323.9419444444447</v>
      </c>
      <c r="AF164" s="153">
        <f t="shared" ca="1" si="37"/>
        <v>8534.6767909722239</v>
      </c>
      <c r="AH164" s="67">
        <f t="shared" si="42"/>
        <v>1.1596500000000001E-2</v>
      </c>
      <c r="AI164" s="151">
        <f t="shared" si="38"/>
        <v>2319.3000000000002</v>
      </c>
      <c r="AJ164">
        <f ca="1">((Main!$C$4-E164)*(200000*(H164/100))/360)*0.02577</f>
        <v>76.219356333333337</v>
      </c>
      <c r="AK164" s="152">
        <f t="shared" ca="1" si="39"/>
        <v>2395.5193563333337</v>
      </c>
      <c r="AL164" s="153">
        <f t="shared" ca="1" si="40"/>
        <v>8797.5448361341678</v>
      </c>
    </row>
    <row r="165" spans="1:38" ht="12.75" customHeight="1" x14ac:dyDescent="0.35">
      <c r="A165" s="46" t="s">
        <v>844</v>
      </c>
      <c r="B165" s="38" t="s">
        <v>455</v>
      </c>
      <c r="C165" s="46" t="s">
        <v>844</v>
      </c>
      <c r="D165" s="22" t="s">
        <v>456</v>
      </c>
      <c r="E165" s="75">
        <f t="shared" si="31"/>
        <v>46007</v>
      </c>
      <c r="F165" s="75" t="s">
        <v>615</v>
      </c>
      <c r="G165" s="74">
        <f t="shared" si="32"/>
        <v>46372</v>
      </c>
      <c r="H165" s="19">
        <v>5</v>
      </c>
      <c r="I165" s="71" t="s">
        <v>19</v>
      </c>
      <c r="J165" s="2" t="s">
        <v>4</v>
      </c>
      <c r="K165" s="2" t="s">
        <v>749</v>
      </c>
      <c r="L165" s="27" t="s">
        <v>5</v>
      </c>
      <c r="M165" s="3">
        <v>0.55000000000000004</v>
      </c>
      <c r="N165" s="3"/>
      <c r="O165" s="3">
        <v>0.45</v>
      </c>
      <c r="P165" s="69">
        <f t="shared" si="43"/>
        <v>0.55000000000000004</v>
      </c>
      <c r="Q165" s="85">
        <f t="shared" si="44"/>
        <v>0.44999999999999996</v>
      </c>
      <c r="R165" s="67">
        <v>0.45</v>
      </c>
      <c r="S165" s="67"/>
      <c r="T165" s="40" t="s">
        <v>548</v>
      </c>
      <c r="U165" s="87" t="s">
        <v>928</v>
      </c>
      <c r="V165" s="137" t="s">
        <v>929</v>
      </c>
      <c r="W165" s="46" t="s">
        <v>844</v>
      </c>
      <c r="Z165" t="b">
        <f t="shared" si="34"/>
        <v>1</v>
      </c>
      <c r="AA165" s="46" t="s">
        <v>844</v>
      </c>
      <c r="AB165" s="67">
        <f t="shared" si="41"/>
        <v>1.1250000000000001E-2</v>
      </c>
      <c r="AC165" s="151">
        <f t="shared" si="35"/>
        <v>2250.0000000000005</v>
      </c>
      <c r="AD165" s="152">
        <f ca="1">((Main!$C$4-E165)*(200000*(H165/100))/360)*0.025</f>
        <v>44.44444444444445</v>
      </c>
      <c r="AE165" s="152">
        <f t="shared" ca="1" si="36"/>
        <v>2294.4444444444448</v>
      </c>
      <c r="AF165" s="153">
        <f t="shared" ca="1" si="37"/>
        <v>8426.3472222222226</v>
      </c>
      <c r="AH165" s="67">
        <f t="shared" si="42"/>
        <v>1.1596500000000001E-2</v>
      </c>
      <c r="AI165" s="151">
        <f t="shared" si="38"/>
        <v>2319.3000000000002</v>
      </c>
      <c r="AJ165">
        <f ca="1">((Main!$C$4-E165)*(200000*(H165/100))/360)*0.02577</f>
        <v>45.81333333333334</v>
      </c>
      <c r="AK165" s="152">
        <f t="shared" ca="1" si="39"/>
        <v>2365.1133333333337</v>
      </c>
      <c r="AL165" s="153">
        <f t="shared" ca="1" si="40"/>
        <v>8685.878716666668</v>
      </c>
    </row>
    <row r="166" spans="1:38" ht="12.75" customHeight="1" x14ac:dyDescent="0.35">
      <c r="A166" s="46" t="s">
        <v>845</v>
      </c>
      <c r="B166" s="38" t="s">
        <v>457</v>
      </c>
      <c r="C166" s="46" t="s">
        <v>845</v>
      </c>
      <c r="D166" s="22" t="s">
        <v>458</v>
      </c>
      <c r="E166" s="75">
        <f t="shared" si="31"/>
        <v>45986</v>
      </c>
      <c r="F166" s="75" t="s">
        <v>656</v>
      </c>
      <c r="G166" s="74">
        <f t="shared" si="32"/>
        <v>46351</v>
      </c>
      <c r="H166" s="19">
        <v>5.1920000000000002</v>
      </c>
      <c r="I166" s="71" t="s">
        <v>19</v>
      </c>
      <c r="J166" s="2" t="s">
        <v>4</v>
      </c>
      <c r="K166" s="2" t="s">
        <v>749</v>
      </c>
      <c r="L166" s="27" t="s">
        <v>5</v>
      </c>
      <c r="M166" s="3">
        <v>0.55000000000000004</v>
      </c>
      <c r="N166" s="3"/>
      <c r="O166" s="3">
        <v>0.45</v>
      </c>
      <c r="P166" s="69">
        <f t="shared" si="43"/>
        <v>0.55000000000000004</v>
      </c>
      <c r="Q166" s="85">
        <f t="shared" si="44"/>
        <v>0.44999999999999996</v>
      </c>
      <c r="R166" s="67">
        <v>0.45</v>
      </c>
      <c r="S166" s="67"/>
      <c r="T166" s="40" t="s">
        <v>548</v>
      </c>
      <c r="U166" s="87" t="s">
        <v>928</v>
      </c>
      <c r="V166" s="137" t="s">
        <v>929</v>
      </c>
      <c r="W166" s="46" t="s">
        <v>845</v>
      </c>
      <c r="Z166" t="b">
        <f t="shared" si="34"/>
        <v>1</v>
      </c>
      <c r="AA166" s="46" t="s">
        <v>845</v>
      </c>
      <c r="AB166" s="67">
        <f t="shared" si="41"/>
        <v>1.1250000000000001E-2</v>
      </c>
      <c r="AC166" s="151">
        <f t="shared" si="35"/>
        <v>2250.0000000000005</v>
      </c>
      <c r="AD166" s="152">
        <f ca="1">((Main!$C$4-E166)*(200000*(H166/100))/360)*0.025</f>
        <v>61.294444444444451</v>
      </c>
      <c r="AE166" s="152">
        <f t="shared" ca="1" si="36"/>
        <v>2311.2944444444447</v>
      </c>
      <c r="AF166" s="153">
        <f t="shared" ca="1" si="37"/>
        <v>8488.2288472222226</v>
      </c>
      <c r="AH166" s="67">
        <f t="shared" si="42"/>
        <v>1.1596500000000001E-2</v>
      </c>
      <c r="AI166" s="151">
        <f t="shared" si="38"/>
        <v>2319.3000000000002</v>
      </c>
      <c r="AJ166">
        <f ca="1">((Main!$C$4-E166)*(200000*(H166/100))/360)*0.02577</f>
        <v>63.18231333333334</v>
      </c>
      <c r="AK166" s="152">
        <f t="shared" ca="1" si="39"/>
        <v>2382.4823133333334</v>
      </c>
      <c r="AL166" s="153">
        <f t="shared" ca="1" si="40"/>
        <v>8749.6662957166664</v>
      </c>
    </row>
    <row r="167" spans="1:38" ht="12.75" customHeight="1" x14ac:dyDescent="0.35">
      <c r="A167" s="46" t="s">
        <v>846</v>
      </c>
      <c r="B167" s="38" t="s">
        <v>459</v>
      </c>
      <c r="C167" s="46" t="s">
        <v>846</v>
      </c>
      <c r="D167" s="22" t="s">
        <v>460</v>
      </c>
      <c r="E167" s="75">
        <f t="shared" si="31"/>
        <v>45947</v>
      </c>
      <c r="F167" s="75" t="s">
        <v>657</v>
      </c>
      <c r="G167" s="74">
        <f t="shared" si="32"/>
        <v>46312</v>
      </c>
      <c r="H167" s="19">
        <v>5.4329999999999998</v>
      </c>
      <c r="I167" s="71" t="s">
        <v>19</v>
      </c>
      <c r="J167" s="2" t="s">
        <v>4</v>
      </c>
      <c r="K167" s="2" t="s">
        <v>749</v>
      </c>
      <c r="L167" s="2" t="s">
        <v>5</v>
      </c>
      <c r="M167" s="3">
        <v>0.55000000000000004</v>
      </c>
      <c r="N167" s="3"/>
      <c r="O167" s="3">
        <v>0.45</v>
      </c>
      <c r="P167" s="69">
        <f t="shared" si="43"/>
        <v>0.55000000000000004</v>
      </c>
      <c r="Q167" s="85">
        <f t="shared" si="44"/>
        <v>0.44999999999999996</v>
      </c>
      <c r="R167" s="67">
        <v>0.45</v>
      </c>
      <c r="S167" s="67"/>
      <c r="T167" s="40" t="s">
        <v>548</v>
      </c>
      <c r="U167" s="87" t="s">
        <v>928</v>
      </c>
      <c r="V167" s="137" t="s">
        <v>929</v>
      </c>
      <c r="W167" s="46" t="s">
        <v>846</v>
      </c>
      <c r="Z167" t="b">
        <f t="shared" si="34"/>
        <v>1</v>
      </c>
      <c r="AA167" s="46" t="s">
        <v>846</v>
      </c>
      <c r="AB167" s="67">
        <f t="shared" si="41"/>
        <v>1.1250000000000001E-2</v>
      </c>
      <c r="AC167" s="151">
        <f t="shared" si="35"/>
        <v>2250.0000000000005</v>
      </c>
      <c r="AD167" s="152">
        <f ca="1">((Main!$C$4-E167)*(200000*(H167/100))/360)*0.025</f>
        <v>93.568333333333328</v>
      </c>
      <c r="AE167" s="152">
        <f t="shared" ca="1" si="36"/>
        <v>2343.5683333333336</v>
      </c>
      <c r="AF167" s="153">
        <f t="shared" ca="1" si="37"/>
        <v>8606.7547041666676</v>
      </c>
      <c r="AH167" s="67">
        <f t="shared" si="42"/>
        <v>1.1596500000000001E-2</v>
      </c>
      <c r="AI167" s="151">
        <f t="shared" si="38"/>
        <v>2319.3000000000002</v>
      </c>
      <c r="AJ167">
        <f ca="1">((Main!$C$4-E167)*(200000*(H167/100))/360)*0.02577</f>
        <v>96.450237999999999</v>
      </c>
      <c r="AK167" s="152">
        <f t="shared" ca="1" si="39"/>
        <v>2415.7502380000001</v>
      </c>
      <c r="AL167" s="153">
        <f t="shared" ca="1" si="40"/>
        <v>8871.8427490550002</v>
      </c>
    </row>
    <row r="168" spans="1:38" ht="12.75" customHeight="1" x14ac:dyDescent="0.35">
      <c r="A168" s="46" t="s">
        <v>847</v>
      </c>
      <c r="B168" s="38" t="s">
        <v>461</v>
      </c>
      <c r="C168" s="46" t="s">
        <v>847</v>
      </c>
      <c r="D168" s="22" t="s">
        <v>462</v>
      </c>
      <c r="E168" s="75">
        <f t="shared" si="31"/>
        <v>46032</v>
      </c>
      <c r="F168" s="75" t="s">
        <v>612</v>
      </c>
      <c r="G168" s="74">
        <f t="shared" si="32"/>
        <v>46397</v>
      </c>
      <c r="H168" s="19">
        <v>5.5</v>
      </c>
      <c r="I168" s="71" t="s">
        <v>19</v>
      </c>
      <c r="J168" s="2" t="s">
        <v>4</v>
      </c>
      <c r="K168" s="2" t="s">
        <v>749</v>
      </c>
      <c r="L168" s="2" t="s">
        <v>5</v>
      </c>
      <c r="M168" s="3">
        <v>0.55000000000000004</v>
      </c>
      <c r="N168" s="3"/>
      <c r="O168" s="3">
        <v>0.45</v>
      </c>
      <c r="P168" s="69">
        <f t="shared" si="43"/>
        <v>0.55000000000000004</v>
      </c>
      <c r="Q168" s="85">
        <f t="shared" si="44"/>
        <v>0.44999999999999996</v>
      </c>
      <c r="R168" s="67">
        <v>0.45</v>
      </c>
      <c r="S168" s="67"/>
      <c r="T168" s="40" t="s">
        <v>548</v>
      </c>
      <c r="U168" s="87" t="s">
        <v>928</v>
      </c>
      <c r="V168" s="137" t="s">
        <v>929</v>
      </c>
      <c r="W168" s="46" t="s">
        <v>847</v>
      </c>
      <c r="Z168" t="b">
        <f t="shared" si="34"/>
        <v>1</v>
      </c>
      <c r="AA168" s="46" t="s">
        <v>847</v>
      </c>
      <c r="AB168" s="67">
        <f t="shared" si="41"/>
        <v>1.1250000000000001E-2</v>
      </c>
      <c r="AC168" s="151">
        <f t="shared" si="35"/>
        <v>2250.0000000000005</v>
      </c>
      <c r="AD168" s="152">
        <f ca="1">((Main!$C$4-E168)*(200000*(H168/100))/360)*0.025</f>
        <v>29.791666666666671</v>
      </c>
      <c r="AE168" s="152">
        <f t="shared" ca="1" si="36"/>
        <v>2279.791666666667</v>
      </c>
      <c r="AF168" s="153">
        <f t="shared" ca="1" si="37"/>
        <v>8372.5348958333343</v>
      </c>
      <c r="AH168" s="67">
        <f t="shared" si="42"/>
        <v>1.1596500000000001E-2</v>
      </c>
      <c r="AI168" s="151">
        <f t="shared" si="38"/>
        <v>2319.3000000000002</v>
      </c>
      <c r="AJ168">
        <f ca="1">((Main!$C$4-E168)*(200000*(H168/100))/360)*0.02577</f>
        <v>30.709250000000004</v>
      </c>
      <c r="AK168" s="152">
        <f t="shared" ca="1" si="39"/>
        <v>2350.0092500000001</v>
      </c>
      <c r="AL168" s="153">
        <f t="shared" ca="1" si="40"/>
        <v>8630.4089706249997</v>
      </c>
    </row>
    <row r="169" spans="1:38" ht="12.75" customHeight="1" x14ac:dyDescent="0.35">
      <c r="A169" s="46" t="s">
        <v>848</v>
      </c>
      <c r="B169" s="38" t="s">
        <v>463</v>
      </c>
      <c r="C169" s="46" t="s">
        <v>848</v>
      </c>
      <c r="D169" s="22" t="s">
        <v>464</v>
      </c>
      <c r="E169" s="75">
        <f t="shared" si="31"/>
        <v>45919</v>
      </c>
      <c r="F169" s="75" t="s">
        <v>658</v>
      </c>
      <c r="G169" s="74">
        <f t="shared" si="32"/>
        <v>46284</v>
      </c>
      <c r="H169" s="19">
        <v>6.0919999999999996</v>
      </c>
      <c r="I169" s="71" t="s">
        <v>19</v>
      </c>
      <c r="J169" s="2" t="s">
        <v>4</v>
      </c>
      <c r="K169" s="2" t="s">
        <v>749</v>
      </c>
      <c r="L169" s="27" t="s">
        <v>5</v>
      </c>
      <c r="M169" s="3">
        <v>0.55000000000000004</v>
      </c>
      <c r="N169" s="3"/>
      <c r="O169" s="3">
        <v>0.45</v>
      </c>
      <c r="P169" s="69">
        <f t="shared" si="43"/>
        <v>0.55000000000000004</v>
      </c>
      <c r="Q169" s="85">
        <f t="shared" si="44"/>
        <v>0.44999999999999996</v>
      </c>
      <c r="R169" s="67">
        <v>0.45</v>
      </c>
      <c r="S169" s="67"/>
      <c r="T169" s="40" t="s">
        <v>548</v>
      </c>
      <c r="U169" s="87" t="s">
        <v>928</v>
      </c>
      <c r="V169" s="137" t="s">
        <v>929</v>
      </c>
      <c r="W169" s="46" t="s">
        <v>848</v>
      </c>
      <c r="Z169" t="b">
        <f t="shared" si="34"/>
        <v>1</v>
      </c>
      <c r="AA169" s="46" t="s">
        <v>848</v>
      </c>
      <c r="AB169" s="67">
        <f t="shared" si="41"/>
        <v>1.1250000000000001E-2</v>
      </c>
      <c r="AC169" s="151">
        <f t="shared" si="35"/>
        <v>2250.0000000000005</v>
      </c>
      <c r="AD169" s="152">
        <f ca="1">((Main!$C$4-E169)*(200000*(H169/100))/360)*0.025</f>
        <v>128.60888888888888</v>
      </c>
      <c r="AE169" s="152">
        <f t="shared" ca="1" si="36"/>
        <v>2378.6088888888894</v>
      </c>
      <c r="AF169" s="153">
        <f t="shared" ca="1" si="37"/>
        <v>8735.4411444444468</v>
      </c>
      <c r="AH169" s="67">
        <f t="shared" si="42"/>
        <v>1.1596500000000001E-2</v>
      </c>
      <c r="AI169" s="151">
        <f t="shared" si="38"/>
        <v>2319.3000000000002</v>
      </c>
      <c r="AJ169">
        <f ca="1">((Main!$C$4-E169)*(200000*(H169/100))/360)*0.02577</f>
        <v>132.57004266666667</v>
      </c>
      <c r="AK169" s="152">
        <f t="shared" ca="1" si="39"/>
        <v>2451.8700426666669</v>
      </c>
      <c r="AL169" s="153">
        <f t="shared" ca="1" si="40"/>
        <v>9004.4927316933336</v>
      </c>
    </row>
    <row r="170" spans="1:38" ht="12.75" customHeight="1" x14ac:dyDescent="0.35">
      <c r="A170" s="46" t="s">
        <v>849</v>
      </c>
      <c r="B170" s="38" t="s">
        <v>465</v>
      </c>
      <c r="C170" s="46" t="s">
        <v>849</v>
      </c>
      <c r="D170" s="22" t="s">
        <v>466</v>
      </c>
      <c r="E170" s="75">
        <f t="shared" si="31"/>
        <v>46035</v>
      </c>
      <c r="F170" s="75" t="s">
        <v>659</v>
      </c>
      <c r="G170" s="74">
        <f t="shared" si="32"/>
        <v>46400</v>
      </c>
      <c r="H170" s="19">
        <v>3.2</v>
      </c>
      <c r="I170" s="71" t="s">
        <v>19</v>
      </c>
      <c r="J170" s="2" t="s">
        <v>4</v>
      </c>
      <c r="K170" s="2" t="s">
        <v>749</v>
      </c>
      <c r="L170" s="27" t="s">
        <v>5</v>
      </c>
      <c r="M170" s="3">
        <v>0.55000000000000004</v>
      </c>
      <c r="N170" s="3"/>
      <c r="O170" s="3">
        <v>0.45</v>
      </c>
      <c r="P170" s="69">
        <f t="shared" si="43"/>
        <v>0.55000000000000004</v>
      </c>
      <c r="Q170" s="85">
        <f t="shared" si="44"/>
        <v>0.44999999999999996</v>
      </c>
      <c r="R170" s="67">
        <v>0.45</v>
      </c>
      <c r="S170" s="67"/>
      <c r="T170" s="40" t="s">
        <v>548</v>
      </c>
      <c r="U170" s="87" t="s">
        <v>928</v>
      </c>
      <c r="V170" s="137" t="s">
        <v>929</v>
      </c>
      <c r="W170" s="46" t="s">
        <v>849</v>
      </c>
      <c r="Z170" t="b">
        <f t="shared" si="34"/>
        <v>1</v>
      </c>
      <c r="AA170" s="46" t="s">
        <v>849</v>
      </c>
      <c r="AB170" s="67">
        <f t="shared" si="41"/>
        <v>1.1250000000000001E-2</v>
      </c>
      <c r="AC170" s="151">
        <f t="shared" si="35"/>
        <v>2250.0000000000005</v>
      </c>
      <c r="AD170" s="152">
        <f ca="1">((Main!$C$4-E170)*(200000*(H170/100))/360)*0.025</f>
        <v>16</v>
      </c>
      <c r="AE170" s="152">
        <f t="shared" ca="1" si="36"/>
        <v>2266.0000000000005</v>
      </c>
      <c r="AF170" s="153">
        <f t="shared" ca="1" si="37"/>
        <v>8321.885000000002</v>
      </c>
      <c r="AH170" s="67">
        <f t="shared" si="42"/>
        <v>1.1596500000000001E-2</v>
      </c>
      <c r="AI170" s="151">
        <f t="shared" si="38"/>
        <v>2319.3000000000002</v>
      </c>
      <c r="AJ170">
        <f ca="1">((Main!$C$4-E170)*(200000*(H170/100))/360)*0.02577</f>
        <v>16.492800000000003</v>
      </c>
      <c r="AK170" s="152">
        <f t="shared" ca="1" si="39"/>
        <v>2335.7928000000002</v>
      </c>
      <c r="AL170" s="153">
        <f t="shared" ca="1" si="40"/>
        <v>8578.1990580000002</v>
      </c>
    </row>
    <row r="171" spans="1:38" ht="12.75" customHeight="1" x14ac:dyDescent="0.35">
      <c r="A171" s="46" t="s">
        <v>850</v>
      </c>
      <c r="B171" s="38" t="s">
        <v>467</v>
      </c>
      <c r="C171" s="46" t="s">
        <v>850</v>
      </c>
      <c r="D171" s="22" t="s">
        <v>468</v>
      </c>
      <c r="E171" s="75">
        <f t="shared" si="31"/>
        <v>45914</v>
      </c>
      <c r="F171" s="75" t="s">
        <v>660</v>
      </c>
      <c r="G171" s="74">
        <f t="shared" si="32"/>
        <v>46279</v>
      </c>
      <c r="H171" s="19">
        <v>4.226</v>
      </c>
      <c r="I171" s="71" t="s">
        <v>19</v>
      </c>
      <c r="J171" s="2" t="s">
        <v>4</v>
      </c>
      <c r="K171" s="2" t="s">
        <v>749</v>
      </c>
      <c r="L171" s="27" t="s">
        <v>5</v>
      </c>
      <c r="M171" s="3">
        <v>0.55000000000000004</v>
      </c>
      <c r="N171" s="3"/>
      <c r="O171" s="3">
        <v>0.45</v>
      </c>
      <c r="P171" s="69">
        <f t="shared" si="43"/>
        <v>0.55000000000000004</v>
      </c>
      <c r="Q171" s="85">
        <f t="shared" si="44"/>
        <v>0.44999999999999996</v>
      </c>
      <c r="R171" s="67">
        <v>0.45</v>
      </c>
      <c r="S171" s="67"/>
      <c r="T171" s="40" t="s">
        <v>548</v>
      </c>
      <c r="U171" s="87" t="s">
        <v>928</v>
      </c>
      <c r="V171" s="137" t="s">
        <v>929</v>
      </c>
      <c r="W171" s="46" t="s">
        <v>850</v>
      </c>
      <c r="Z171" t="b">
        <f t="shared" si="34"/>
        <v>1</v>
      </c>
      <c r="AA171" s="46" t="s">
        <v>850</v>
      </c>
      <c r="AB171" s="67">
        <f t="shared" si="41"/>
        <v>1.1250000000000001E-2</v>
      </c>
      <c r="AC171" s="151">
        <f t="shared" si="35"/>
        <v>2250.0000000000005</v>
      </c>
      <c r="AD171" s="152">
        <f ca="1">((Main!$C$4-E171)*(200000*(H171/100))/360)*0.025</f>
        <v>92.150277777777774</v>
      </c>
      <c r="AE171" s="152">
        <f t="shared" ca="1" si="36"/>
        <v>2342.1502777777782</v>
      </c>
      <c r="AF171" s="153">
        <f t="shared" ca="1" si="37"/>
        <v>8601.5468951388902</v>
      </c>
      <c r="AH171" s="67">
        <f t="shared" si="42"/>
        <v>1.1596500000000001E-2</v>
      </c>
      <c r="AI171" s="151">
        <f t="shared" si="38"/>
        <v>2319.3000000000002</v>
      </c>
      <c r="AJ171">
        <f ca="1">((Main!$C$4-E171)*(200000*(H171/100))/360)*0.02577</f>
        <v>94.988506333333333</v>
      </c>
      <c r="AK171" s="152">
        <f t="shared" ca="1" si="39"/>
        <v>2414.2885063333333</v>
      </c>
      <c r="AL171" s="153">
        <f t="shared" ca="1" si="40"/>
        <v>8866.4745395091668</v>
      </c>
    </row>
    <row r="172" spans="1:38" ht="12.75" customHeight="1" x14ac:dyDescent="0.35">
      <c r="A172" s="46" t="s">
        <v>851</v>
      </c>
      <c r="B172" s="38" t="s">
        <v>378</v>
      </c>
      <c r="C172" s="46" t="s">
        <v>851</v>
      </c>
      <c r="D172" s="22" t="s">
        <v>379</v>
      </c>
      <c r="E172" s="75">
        <f t="shared" si="31"/>
        <v>45947</v>
      </c>
      <c r="F172" s="75" t="s">
        <v>657</v>
      </c>
      <c r="G172" s="74">
        <f t="shared" si="32"/>
        <v>46312</v>
      </c>
      <c r="H172" s="19">
        <v>4.5250000000000004</v>
      </c>
      <c r="I172" s="71" t="s">
        <v>19</v>
      </c>
      <c r="J172" s="2" t="s">
        <v>8</v>
      </c>
      <c r="K172" s="60" t="s">
        <v>748</v>
      </c>
      <c r="L172" s="27" t="s">
        <v>380</v>
      </c>
      <c r="M172" s="3">
        <v>1</v>
      </c>
      <c r="N172" s="3"/>
      <c r="O172" s="3">
        <v>0</v>
      </c>
      <c r="P172" s="69">
        <f t="shared" si="43"/>
        <v>1</v>
      </c>
      <c r="Q172" s="85"/>
      <c r="R172" s="67">
        <v>0</v>
      </c>
      <c r="S172" s="67"/>
      <c r="T172" s="40" t="s">
        <v>550</v>
      </c>
      <c r="U172" s="87" t="s">
        <v>933</v>
      </c>
      <c r="V172" s="137" t="s">
        <v>927</v>
      </c>
      <c r="W172" s="46" t="s">
        <v>851</v>
      </c>
      <c r="Z172" t="b">
        <f t="shared" si="34"/>
        <v>1</v>
      </c>
      <c r="AA172" s="46" t="s">
        <v>851</v>
      </c>
      <c r="AB172" s="67">
        <f t="shared" si="41"/>
        <v>0</v>
      </c>
      <c r="AC172" s="151">
        <f t="shared" si="35"/>
        <v>0</v>
      </c>
      <c r="AD172" s="152">
        <f ca="1">((Main!$C$4-E172)*(200000*(H172/100))/360)*0.025</f>
        <v>77.930555555555586</v>
      </c>
      <c r="AE172" s="152">
        <f t="shared" ca="1" si="36"/>
        <v>77.930555555555586</v>
      </c>
      <c r="AF172" s="153">
        <f t="shared" ca="1" si="37"/>
        <v>286.19996527777789</v>
      </c>
      <c r="AH172" s="67">
        <f t="shared" si="42"/>
        <v>0</v>
      </c>
      <c r="AI172" s="151">
        <f t="shared" si="38"/>
        <v>0</v>
      </c>
      <c r="AJ172">
        <f ca="1">((Main!$C$4-E172)*(200000*(H172/100))/360)*0.02577</f>
        <v>80.330816666666692</v>
      </c>
      <c r="AK172" s="152">
        <f t="shared" ca="1" si="39"/>
        <v>80.330816666666692</v>
      </c>
      <c r="AL172" s="153">
        <f t="shared" ca="1" si="40"/>
        <v>295.01492420833341</v>
      </c>
    </row>
    <row r="173" spans="1:38" ht="12.75" customHeight="1" x14ac:dyDescent="0.35">
      <c r="A173" s="46" t="s">
        <v>852</v>
      </c>
      <c r="B173" s="38" t="s">
        <v>381</v>
      </c>
      <c r="C173" s="46" t="s">
        <v>852</v>
      </c>
      <c r="D173" s="22" t="s">
        <v>382</v>
      </c>
      <c r="E173" s="75">
        <f t="shared" si="31"/>
        <v>46006</v>
      </c>
      <c r="F173" s="75" t="s">
        <v>661</v>
      </c>
      <c r="G173" s="74">
        <f t="shared" si="32"/>
        <v>46371</v>
      </c>
      <c r="H173" s="19">
        <v>4.875</v>
      </c>
      <c r="I173" s="71" t="s">
        <v>19</v>
      </c>
      <c r="J173" s="2" t="s">
        <v>8</v>
      </c>
      <c r="K173" s="60" t="s">
        <v>748</v>
      </c>
      <c r="L173" s="27" t="s">
        <v>380</v>
      </c>
      <c r="M173" s="3">
        <v>1</v>
      </c>
      <c r="N173" s="3"/>
      <c r="O173" s="3">
        <v>0</v>
      </c>
      <c r="P173" s="69">
        <f t="shared" si="43"/>
        <v>1</v>
      </c>
      <c r="Q173" s="85"/>
      <c r="R173" s="67">
        <v>0</v>
      </c>
      <c r="S173" s="67"/>
      <c r="T173" s="40" t="s">
        <v>550</v>
      </c>
      <c r="U173" s="87" t="s">
        <v>933</v>
      </c>
      <c r="V173" s="137" t="s">
        <v>927</v>
      </c>
      <c r="W173" s="46" t="s">
        <v>852</v>
      </c>
      <c r="Z173" t="b">
        <f t="shared" si="34"/>
        <v>1</v>
      </c>
      <c r="AA173" s="46" t="s">
        <v>852</v>
      </c>
      <c r="AB173" s="67">
        <f t="shared" si="41"/>
        <v>0</v>
      </c>
      <c r="AC173" s="151">
        <f t="shared" si="35"/>
        <v>0</v>
      </c>
      <c r="AD173" s="152">
        <f ca="1">((Main!$C$4-E173)*(200000*(H173/100))/360)*0.025</f>
        <v>44.010416666666671</v>
      </c>
      <c r="AE173" s="152">
        <f t="shared" ca="1" si="36"/>
        <v>44.010416666666671</v>
      </c>
      <c r="AF173" s="153">
        <f t="shared" ca="1" si="37"/>
        <v>161.62825520833334</v>
      </c>
      <c r="AH173" s="67">
        <f t="shared" si="42"/>
        <v>0</v>
      </c>
      <c r="AI173" s="151">
        <f t="shared" si="38"/>
        <v>0</v>
      </c>
      <c r="AJ173">
        <f ca="1">((Main!$C$4-E173)*(200000*(H173/100))/360)*0.02577</f>
        <v>45.365937500000001</v>
      </c>
      <c r="AK173" s="152">
        <f t="shared" ca="1" si="39"/>
        <v>45.365937500000001</v>
      </c>
      <c r="AL173" s="153">
        <f t="shared" ca="1" si="40"/>
        <v>166.60640546875001</v>
      </c>
    </row>
    <row r="174" spans="1:38" ht="12.75" customHeight="1" x14ac:dyDescent="0.35">
      <c r="A174" s="46" t="s">
        <v>853</v>
      </c>
      <c r="B174" s="38" t="s">
        <v>299</v>
      </c>
      <c r="C174" s="46" t="s">
        <v>853</v>
      </c>
      <c r="D174" s="22" t="s">
        <v>300</v>
      </c>
      <c r="E174" s="75">
        <f t="shared" si="31"/>
        <v>45939</v>
      </c>
      <c r="F174" s="75" t="s">
        <v>570</v>
      </c>
      <c r="G174" s="74">
        <f t="shared" si="32"/>
        <v>46304</v>
      </c>
      <c r="H174" s="19">
        <v>4.391</v>
      </c>
      <c r="I174" s="71" t="s">
        <v>19</v>
      </c>
      <c r="J174" s="2" t="s">
        <v>54</v>
      </c>
      <c r="K174" s="2" t="s">
        <v>759</v>
      </c>
      <c r="L174" s="1" t="s">
        <v>301</v>
      </c>
      <c r="M174" s="3">
        <v>0.55000000000000004</v>
      </c>
      <c r="N174" s="3"/>
      <c r="O174" s="3">
        <v>0.45</v>
      </c>
      <c r="P174" s="3">
        <f t="shared" si="43"/>
        <v>0.55000000000000004</v>
      </c>
      <c r="Q174" s="84"/>
      <c r="R174" s="67">
        <v>0.45</v>
      </c>
      <c r="S174" s="67"/>
      <c r="T174" s="40" t="s">
        <v>548</v>
      </c>
      <c r="U174" s="87" t="s">
        <v>946</v>
      </c>
      <c r="V174" s="137" t="s">
        <v>947</v>
      </c>
      <c r="W174" s="46" t="s">
        <v>853</v>
      </c>
      <c r="Z174" t="b">
        <f t="shared" si="34"/>
        <v>1</v>
      </c>
      <c r="AA174" s="46" t="s">
        <v>853</v>
      </c>
      <c r="AB174" s="67">
        <f t="shared" si="41"/>
        <v>1.1250000000000001E-2</v>
      </c>
      <c r="AC174" s="151">
        <f t="shared" si="35"/>
        <v>2250.0000000000005</v>
      </c>
      <c r="AD174" s="152">
        <f ca="1">((Main!$C$4-E174)*(200000*(H174/100))/360)*0.025</f>
        <v>80.501666666666665</v>
      </c>
      <c r="AE174" s="152">
        <f t="shared" ca="1" si="36"/>
        <v>2330.501666666667</v>
      </c>
      <c r="AF174" s="153">
        <f t="shared" ca="1" si="37"/>
        <v>8558.767370833335</v>
      </c>
      <c r="AH174" s="67">
        <f t="shared" si="42"/>
        <v>1.1596500000000001E-2</v>
      </c>
      <c r="AI174" s="151">
        <f t="shared" si="38"/>
        <v>2319.3000000000002</v>
      </c>
      <c r="AJ174">
        <f ca="1">((Main!$C$4-E174)*(200000*(H174/100))/360)*0.02577</f>
        <v>82.981118000000009</v>
      </c>
      <c r="AK174" s="152">
        <f t="shared" ca="1" si="39"/>
        <v>2402.2811180000003</v>
      </c>
      <c r="AL174" s="153">
        <f t="shared" ca="1" si="40"/>
        <v>8822.3774058550007</v>
      </c>
    </row>
    <row r="175" spans="1:38" ht="12.75" customHeight="1" x14ac:dyDescent="0.35">
      <c r="A175" s="46" t="s">
        <v>854</v>
      </c>
      <c r="B175" s="38" t="s">
        <v>302</v>
      </c>
      <c r="C175" s="46" t="s">
        <v>854</v>
      </c>
      <c r="D175" s="22" t="s">
        <v>303</v>
      </c>
      <c r="E175" s="75">
        <f t="shared" si="31"/>
        <v>45883</v>
      </c>
      <c r="F175" s="75" t="s">
        <v>617</v>
      </c>
      <c r="G175" s="74">
        <f t="shared" si="32"/>
        <v>46248</v>
      </c>
      <c r="H175" s="19">
        <v>4.95</v>
      </c>
      <c r="I175" s="71" t="s">
        <v>19</v>
      </c>
      <c r="J175" s="2" t="s">
        <v>54</v>
      </c>
      <c r="K175" s="2" t="s">
        <v>759</v>
      </c>
      <c r="L175" s="1" t="s">
        <v>301</v>
      </c>
      <c r="M175" s="3">
        <v>0.55000000000000004</v>
      </c>
      <c r="N175" s="3"/>
      <c r="O175" s="3">
        <v>0.45</v>
      </c>
      <c r="P175" s="3">
        <f t="shared" si="43"/>
        <v>0.55000000000000004</v>
      </c>
      <c r="Q175" s="84"/>
      <c r="R175" s="67">
        <v>0.45</v>
      </c>
      <c r="S175" s="67"/>
      <c r="T175" s="40" t="s">
        <v>548</v>
      </c>
      <c r="U175" s="87" t="s">
        <v>946</v>
      </c>
      <c r="V175" s="137" t="s">
        <v>947</v>
      </c>
      <c r="W175" s="46" t="s">
        <v>854</v>
      </c>
      <c r="Z175" t="b">
        <f t="shared" si="34"/>
        <v>1</v>
      </c>
      <c r="AA175" s="46" t="s">
        <v>854</v>
      </c>
      <c r="AB175" s="67">
        <f t="shared" si="41"/>
        <v>1.1250000000000001E-2</v>
      </c>
      <c r="AC175" s="151">
        <f t="shared" si="35"/>
        <v>2250.0000000000005</v>
      </c>
      <c r="AD175" s="152">
        <f ca="1">((Main!$C$4-E175)*(200000*(H175/100))/360)*0.025</f>
        <v>129.25</v>
      </c>
      <c r="AE175" s="152">
        <f t="shared" ca="1" si="36"/>
        <v>2379.2500000000005</v>
      </c>
      <c r="AF175" s="153">
        <f t="shared" ca="1" si="37"/>
        <v>8737.7956250000007</v>
      </c>
      <c r="AH175" s="67">
        <f t="shared" si="42"/>
        <v>1.1596500000000001E-2</v>
      </c>
      <c r="AI175" s="151">
        <f t="shared" si="38"/>
        <v>2319.3000000000002</v>
      </c>
      <c r="AJ175">
        <f ca="1">((Main!$C$4-E175)*(200000*(H175/100))/360)*0.02577</f>
        <v>133.23090000000002</v>
      </c>
      <c r="AK175" s="152">
        <f t="shared" ca="1" si="39"/>
        <v>2452.5309000000002</v>
      </c>
      <c r="AL175" s="153">
        <f t="shared" ca="1" si="40"/>
        <v>9006.9197302499997</v>
      </c>
    </row>
    <row r="176" spans="1:38" ht="12.75" customHeight="1" x14ac:dyDescent="0.35">
      <c r="A176" s="46" t="s">
        <v>855</v>
      </c>
      <c r="B176" s="38" t="s">
        <v>326</v>
      </c>
      <c r="C176" s="46" t="s">
        <v>855</v>
      </c>
      <c r="D176" s="22" t="s">
        <v>327</v>
      </c>
      <c r="E176" s="75">
        <f t="shared" si="31"/>
        <v>45909</v>
      </c>
      <c r="F176" s="75" t="s">
        <v>565</v>
      </c>
      <c r="G176" s="74">
        <f t="shared" si="32"/>
        <v>46274</v>
      </c>
      <c r="H176" s="19">
        <v>4.25</v>
      </c>
      <c r="I176" s="71" t="s">
        <v>19</v>
      </c>
      <c r="J176" s="2" t="s">
        <v>8</v>
      </c>
      <c r="K176" s="60" t="s">
        <v>741</v>
      </c>
      <c r="L176" s="2" t="s">
        <v>5</v>
      </c>
      <c r="M176" s="3">
        <v>1</v>
      </c>
      <c r="N176" s="3"/>
      <c r="O176" s="3">
        <v>0</v>
      </c>
      <c r="P176" s="69">
        <f t="shared" si="43"/>
        <v>1</v>
      </c>
      <c r="Q176" s="85"/>
      <c r="R176" s="67">
        <v>0</v>
      </c>
      <c r="S176" s="67"/>
      <c r="T176" s="40" t="s">
        <v>550</v>
      </c>
      <c r="U176" s="87" t="s">
        <v>933</v>
      </c>
      <c r="V176" s="137" t="s">
        <v>927</v>
      </c>
      <c r="W176" s="46" t="s">
        <v>855</v>
      </c>
      <c r="Z176" t="b">
        <f t="shared" si="34"/>
        <v>1</v>
      </c>
      <c r="AA176" s="46" t="s">
        <v>855</v>
      </c>
      <c r="AB176" s="67">
        <f t="shared" si="41"/>
        <v>0</v>
      </c>
      <c r="AC176" s="151">
        <f t="shared" si="35"/>
        <v>0</v>
      </c>
      <c r="AD176" s="152">
        <f ca="1">((Main!$C$4-E176)*(200000*(H176/100))/360)*0.025</f>
        <v>95.625</v>
      </c>
      <c r="AE176" s="152">
        <f t="shared" ca="1" si="36"/>
        <v>95.625</v>
      </c>
      <c r="AF176" s="153">
        <f t="shared" ca="1" si="37"/>
        <v>351.18281250000001</v>
      </c>
      <c r="AH176" s="67">
        <f t="shared" si="42"/>
        <v>0</v>
      </c>
      <c r="AI176" s="151">
        <f t="shared" si="38"/>
        <v>0</v>
      </c>
      <c r="AJ176">
        <f ca="1">((Main!$C$4-E176)*(200000*(H176/100))/360)*0.02577</f>
        <v>98.570250000000001</v>
      </c>
      <c r="AK176" s="152">
        <f t="shared" ca="1" si="39"/>
        <v>98.570250000000001</v>
      </c>
      <c r="AL176" s="153">
        <f t="shared" ca="1" si="40"/>
        <v>361.99924312500002</v>
      </c>
    </row>
    <row r="177" spans="1:38" ht="12.75" customHeight="1" x14ac:dyDescent="0.35">
      <c r="A177" s="46" t="s">
        <v>856</v>
      </c>
      <c r="B177" s="38" t="s">
        <v>328</v>
      </c>
      <c r="C177" s="46" t="s">
        <v>856</v>
      </c>
      <c r="D177" s="22" t="s">
        <v>329</v>
      </c>
      <c r="E177" s="75">
        <f t="shared" si="31"/>
        <v>45909</v>
      </c>
      <c r="F177" s="75" t="s">
        <v>565</v>
      </c>
      <c r="G177" s="74">
        <f t="shared" si="32"/>
        <v>46274</v>
      </c>
      <c r="H177" s="19">
        <v>4.875</v>
      </c>
      <c r="I177" s="71" t="s">
        <v>19</v>
      </c>
      <c r="J177" s="2" t="s">
        <v>8</v>
      </c>
      <c r="K177" s="60" t="s">
        <v>741</v>
      </c>
      <c r="L177" s="2" t="s">
        <v>5</v>
      </c>
      <c r="M177" s="3">
        <v>1</v>
      </c>
      <c r="N177" s="3"/>
      <c r="O177" s="3">
        <v>0</v>
      </c>
      <c r="P177" s="69">
        <f t="shared" si="43"/>
        <v>1</v>
      </c>
      <c r="Q177" s="85"/>
      <c r="R177" s="67">
        <v>0</v>
      </c>
      <c r="S177" s="67"/>
      <c r="T177" s="40" t="s">
        <v>550</v>
      </c>
      <c r="U177" s="87" t="s">
        <v>933</v>
      </c>
      <c r="V177" s="137" t="s">
        <v>927</v>
      </c>
      <c r="W177" s="46" t="s">
        <v>856</v>
      </c>
      <c r="Z177" t="b">
        <f t="shared" si="34"/>
        <v>1</v>
      </c>
      <c r="AA177" s="46" t="s">
        <v>856</v>
      </c>
      <c r="AB177" s="67">
        <f t="shared" si="41"/>
        <v>0</v>
      </c>
      <c r="AC177" s="151">
        <f t="shared" si="35"/>
        <v>0</v>
      </c>
      <c r="AD177" s="152">
        <f ca="1">((Main!$C$4-E177)*(200000*(H177/100))/360)*0.025</f>
        <v>109.6875</v>
      </c>
      <c r="AE177" s="152">
        <f t="shared" ca="1" si="36"/>
        <v>109.6875</v>
      </c>
      <c r="AF177" s="153">
        <f t="shared" ca="1" si="37"/>
        <v>402.82734375000001</v>
      </c>
      <c r="AH177" s="67">
        <f t="shared" si="42"/>
        <v>0</v>
      </c>
      <c r="AI177" s="151">
        <f t="shared" si="38"/>
        <v>0</v>
      </c>
      <c r="AJ177">
        <f ca="1">((Main!$C$4-E177)*(200000*(H177/100))/360)*0.02577</f>
        <v>113.06587500000001</v>
      </c>
      <c r="AK177" s="152">
        <f t="shared" ca="1" si="39"/>
        <v>113.06587500000001</v>
      </c>
      <c r="AL177" s="153">
        <f t="shared" ca="1" si="40"/>
        <v>415.23442593750002</v>
      </c>
    </row>
    <row r="178" spans="1:38" ht="12.75" customHeight="1" x14ac:dyDescent="0.35">
      <c r="A178" s="46" t="s">
        <v>857</v>
      </c>
      <c r="B178" s="38" t="s">
        <v>373</v>
      </c>
      <c r="C178" s="46" t="s">
        <v>857</v>
      </c>
      <c r="D178" s="22" t="s">
        <v>374</v>
      </c>
      <c r="E178" s="75">
        <f t="shared" si="31"/>
        <v>45938</v>
      </c>
      <c r="F178" s="75" t="s">
        <v>646</v>
      </c>
      <c r="G178" s="74">
        <f t="shared" si="32"/>
        <v>46303</v>
      </c>
      <c r="H178" s="19">
        <v>5.25</v>
      </c>
      <c r="I178" s="71" t="s">
        <v>19</v>
      </c>
      <c r="J178" s="2" t="s">
        <v>4</v>
      </c>
      <c r="K178" s="2" t="s">
        <v>749</v>
      </c>
      <c r="L178" s="27" t="s">
        <v>375</v>
      </c>
      <c r="M178" s="3">
        <v>0.55000000000000004</v>
      </c>
      <c r="N178" s="3"/>
      <c r="O178" s="3">
        <v>0.45</v>
      </c>
      <c r="P178" s="69">
        <f t="shared" si="43"/>
        <v>0.55000000000000004</v>
      </c>
      <c r="Q178" s="85">
        <f>1-P178</f>
        <v>0.44999999999999996</v>
      </c>
      <c r="R178" s="67">
        <v>0.45</v>
      </c>
      <c r="S178" s="67"/>
      <c r="T178" s="40" t="s">
        <v>548</v>
      </c>
      <c r="U178" s="87" t="s">
        <v>928</v>
      </c>
      <c r="V178" s="137" t="s">
        <v>929</v>
      </c>
      <c r="W178" s="46" t="s">
        <v>857</v>
      </c>
      <c r="Z178" t="b">
        <f t="shared" si="34"/>
        <v>1</v>
      </c>
      <c r="AA178" s="46" t="s">
        <v>857</v>
      </c>
      <c r="AB178" s="67">
        <f t="shared" si="41"/>
        <v>1.1250000000000001E-2</v>
      </c>
      <c r="AC178" s="151">
        <f t="shared" si="35"/>
        <v>2250.0000000000005</v>
      </c>
      <c r="AD178" s="152">
        <f ca="1">((Main!$C$4-E178)*(200000*(H178/100))/360)*0.025</f>
        <v>96.979166666666671</v>
      </c>
      <c r="AE178" s="152">
        <f t="shared" ca="1" si="36"/>
        <v>2346.979166666667</v>
      </c>
      <c r="AF178" s="153">
        <f t="shared" ca="1" si="37"/>
        <v>8619.2809895833343</v>
      </c>
      <c r="AH178" s="67">
        <f t="shared" si="42"/>
        <v>1.1596500000000001E-2</v>
      </c>
      <c r="AI178" s="151">
        <f t="shared" si="38"/>
        <v>2319.3000000000002</v>
      </c>
      <c r="AJ178">
        <f ca="1">((Main!$C$4-E178)*(200000*(H178/100))/360)*0.02577</f>
        <v>99.966125000000005</v>
      </c>
      <c r="AK178" s="152">
        <f t="shared" ca="1" si="39"/>
        <v>2419.2661250000001</v>
      </c>
      <c r="AL178" s="153">
        <f t="shared" ca="1" si="40"/>
        <v>8884.7548440624996</v>
      </c>
    </row>
    <row r="179" spans="1:38" ht="12.75" customHeight="1" x14ac:dyDescent="0.35">
      <c r="A179" s="46" t="s">
        <v>858</v>
      </c>
      <c r="B179" s="38" t="s">
        <v>376</v>
      </c>
      <c r="C179" s="46" t="s">
        <v>858</v>
      </c>
      <c r="D179" s="22" t="s">
        <v>377</v>
      </c>
      <c r="E179" s="75">
        <f t="shared" si="31"/>
        <v>45986</v>
      </c>
      <c r="F179" s="75" t="s">
        <v>656</v>
      </c>
      <c r="G179" s="74">
        <f t="shared" si="32"/>
        <v>46351</v>
      </c>
      <c r="H179" s="19">
        <v>6.625</v>
      </c>
      <c r="I179" s="71" t="s">
        <v>19</v>
      </c>
      <c r="J179" s="2" t="s">
        <v>4</v>
      </c>
      <c r="K179" s="2" t="s">
        <v>749</v>
      </c>
      <c r="L179" s="27" t="s">
        <v>375</v>
      </c>
      <c r="M179" s="3">
        <v>0.55000000000000004</v>
      </c>
      <c r="N179" s="3"/>
      <c r="O179" s="3">
        <v>0.45</v>
      </c>
      <c r="P179" s="69">
        <f t="shared" si="43"/>
        <v>0.55000000000000004</v>
      </c>
      <c r="Q179" s="85">
        <f>1-P179</f>
        <v>0.44999999999999996</v>
      </c>
      <c r="R179" s="67">
        <v>0.45</v>
      </c>
      <c r="S179" s="67"/>
      <c r="T179" s="40" t="s">
        <v>548</v>
      </c>
      <c r="U179" s="87" t="s">
        <v>928</v>
      </c>
      <c r="V179" s="137" t="s">
        <v>929</v>
      </c>
      <c r="W179" s="46" t="s">
        <v>858</v>
      </c>
      <c r="Z179" t="b">
        <f t="shared" si="34"/>
        <v>1</v>
      </c>
      <c r="AA179" s="46" t="s">
        <v>858</v>
      </c>
      <c r="AB179" s="67">
        <f t="shared" si="41"/>
        <v>1.1250000000000001E-2</v>
      </c>
      <c r="AC179" s="151">
        <f t="shared" si="35"/>
        <v>2250.0000000000005</v>
      </c>
      <c r="AD179" s="152">
        <f ca="1">((Main!$C$4-E179)*(200000*(H179/100))/360)*0.025</f>
        <v>78.211805555555557</v>
      </c>
      <c r="AE179" s="152">
        <f t="shared" ca="1" si="36"/>
        <v>2328.2118055555561</v>
      </c>
      <c r="AF179" s="153">
        <f t="shared" ca="1" si="37"/>
        <v>8550.3578559027792</v>
      </c>
      <c r="AH179" s="67">
        <f t="shared" si="42"/>
        <v>1.1596500000000001E-2</v>
      </c>
      <c r="AI179" s="151">
        <f t="shared" si="38"/>
        <v>2319.3000000000002</v>
      </c>
      <c r="AJ179">
        <f ca="1">((Main!$C$4-E179)*(200000*(H179/100))/360)*0.02577</f>
        <v>80.620729166666663</v>
      </c>
      <c r="AK179" s="152">
        <f t="shared" ca="1" si="39"/>
        <v>2399.9207291666667</v>
      </c>
      <c r="AL179" s="153">
        <f t="shared" ca="1" si="40"/>
        <v>8813.708877864583</v>
      </c>
    </row>
    <row r="180" spans="1:38" ht="12.75" customHeight="1" x14ac:dyDescent="0.35">
      <c r="A180" s="46" t="s">
        <v>859</v>
      </c>
      <c r="B180" s="38" t="s">
        <v>253</v>
      </c>
      <c r="C180" s="46" t="s">
        <v>859</v>
      </c>
      <c r="D180" s="22" t="s">
        <v>254</v>
      </c>
      <c r="E180" s="75">
        <f t="shared" si="31"/>
        <v>46000</v>
      </c>
      <c r="F180" s="75" t="s">
        <v>662</v>
      </c>
      <c r="G180" s="74">
        <f t="shared" si="32"/>
        <v>46365</v>
      </c>
      <c r="H180" s="19">
        <v>3.55</v>
      </c>
      <c r="I180" s="71" t="s">
        <v>19</v>
      </c>
      <c r="J180" s="27" t="s">
        <v>255</v>
      </c>
      <c r="K180" s="27" t="s">
        <v>750</v>
      </c>
      <c r="L180" s="27" t="s">
        <v>256</v>
      </c>
      <c r="M180" s="3">
        <v>0.51</v>
      </c>
      <c r="N180" s="3"/>
      <c r="O180" s="3">
        <v>0.49</v>
      </c>
      <c r="P180" s="69">
        <f t="shared" si="43"/>
        <v>0.51</v>
      </c>
      <c r="Q180" s="85"/>
      <c r="R180" s="67">
        <v>0.49</v>
      </c>
      <c r="S180" s="67"/>
      <c r="T180" s="40" t="s">
        <v>551</v>
      </c>
      <c r="U180" s="87" t="s">
        <v>932</v>
      </c>
      <c r="V180" s="137" t="s">
        <v>934</v>
      </c>
      <c r="W180" s="46" t="s">
        <v>859</v>
      </c>
      <c r="Z180" t="b">
        <f t="shared" si="34"/>
        <v>1</v>
      </c>
      <c r="AA180" s="46" t="s">
        <v>859</v>
      </c>
      <c r="AB180" s="67">
        <f t="shared" si="41"/>
        <v>1.225E-2</v>
      </c>
      <c r="AC180" s="151">
        <f t="shared" si="35"/>
        <v>2450</v>
      </c>
      <c r="AD180" s="152">
        <f ca="1">((Main!$C$4-E180)*(200000*(H180/100))/360)*0.025</f>
        <v>35.006944444444443</v>
      </c>
      <c r="AE180" s="152">
        <f t="shared" ca="1" si="36"/>
        <v>2485.0069444444443</v>
      </c>
      <c r="AF180" s="153">
        <f t="shared" ca="1" si="37"/>
        <v>9126.1880034722217</v>
      </c>
      <c r="AH180" s="67">
        <f t="shared" si="42"/>
        <v>1.2627300000000001E-2</v>
      </c>
      <c r="AI180" s="151">
        <f t="shared" si="38"/>
        <v>2525.46</v>
      </c>
      <c r="AJ180">
        <f ca="1">((Main!$C$4-E180)*(200000*(H180/100))/360)*0.02577</f>
        <v>36.085158333333332</v>
      </c>
      <c r="AK180" s="152">
        <f t="shared" ca="1" si="39"/>
        <v>2561.5451583333333</v>
      </c>
      <c r="AL180" s="153">
        <f t="shared" ca="1" si="40"/>
        <v>9407.2745939791657</v>
      </c>
    </row>
    <row r="181" spans="1:38" ht="12.75" customHeight="1" x14ac:dyDescent="0.35">
      <c r="A181" s="46" t="s">
        <v>868</v>
      </c>
      <c r="B181" s="38" t="s">
        <v>273</v>
      </c>
      <c r="C181" s="46" t="s">
        <v>868</v>
      </c>
      <c r="D181" s="22" t="s">
        <v>274</v>
      </c>
      <c r="E181" s="75">
        <f t="shared" si="31"/>
        <v>45929</v>
      </c>
      <c r="F181" s="75" t="s">
        <v>560</v>
      </c>
      <c r="G181" s="74">
        <f t="shared" si="32"/>
        <v>46294</v>
      </c>
      <c r="H181" s="19">
        <v>4.55</v>
      </c>
      <c r="I181" s="71" t="s">
        <v>19</v>
      </c>
      <c r="J181" s="27" t="s">
        <v>255</v>
      </c>
      <c r="K181" s="27" t="s">
        <v>750</v>
      </c>
      <c r="L181" s="27" t="s">
        <v>256</v>
      </c>
      <c r="M181" s="3">
        <v>0.51</v>
      </c>
      <c r="N181" s="3"/>
      <c r="O181" s="3">
        <v>0.49</v>
      </c>
      <c r="P181" s="69">
        <f t="shared" si="43"/>
        <v>0.51</v>
      </c>
      <c r="Q181" s="85"/>
      <c r="R181" s="67">
        <v>0.49</v>
      </c>
      <c r="S181" s="67"/>
      <c r="T181" s="40" t="s">
        <v>551</v>
      </c>
      <c r="U181" s="87" t="s">
        <v>932</v>
      </c>
      <c r="V181" s="137" t="s">
        <v>934</v>
      </c>
      <c r="W181" s="46" t="s">
        <v>868</v>
      </c>
      <c r="Z181" t="b">
        <f t="shared" si="34"/>
        <v>1</v>
      </c>
      <c r="AA181" s="46" t="s">
        <v>868</v>
      </c>
      <c r="AB181" s="67">
        <f t="shared" si="41"/>
        <v>1.225E-2</v>
      </c>
      <c r="AC181" s="151">
        <f t="shared" si="35"/>
        <v>2450</v>
      </c>
      <c r="AD181" s="152">
        <f ca="1">((Main!$C$4-E181)*(200000*(H181/100))/360)*0.025</f>
        <v>89.736111111111114</v>
      </c>
      <c r="AE181" s="152">
        <f t="shared" ca="1" si="36"/>
        <v>2539.7361111111113</v>
      </c>
      <c r="AF181" s="153">
        <f t="shared" ca="1" si="37"/>
        <v>9327.1808680555569</v>
      </c>
      <c r="AH181" s="67">
        <f t="shared" si="42"/>
        <v>1.2627300000000001E-2</v>
      </c>
      <c r="AI181" s="151">
        <f t="shared" si="38"/>
        <v>2525.46</v>
      </c>
      <c r="AJ181">
        <f ca="1">((Main!$C$4-E181)*(200000*(H181/100))/360)*0.02577</f>
        <v>92.499983333333333</v>
      </c>
      <c r="AK181" s="152">
        <f t="shared" ca="1" si="39"/>
        <v>2617.9599833333332</v>
      </c>
      <c r="AL181" s="153">
        <f t="shared" ca="1" si="40"/>
        <v>9614.4580387916667</v>
      </c>
    </row>
    <row r="182" spans="1:38" ht="12.75" customHeight="1" x14ac:dyDescent="0.35">
      <c r="A182" s="46" t="s">
        <v>869</v>
      </c>
      <c r="B182" s="38" t="s">
        <v>275</v>
      </c>
      <c r="C182" s="46" t="s">
        <v>869</v>
      </c>
      <c r="D182" s="22" t="s">
        <v>276</v>
      </c>
      <c r="E182" s="75">
        <f t="shared" si="31"/>
        <v>45997</v>
      </c>
      <c r="F182" s="75" t="s">
        <v>644</v>
      </c>
      <c r="G182" s="74">
        <f t="shared" si="32"/>
        <v>46362</v>
      </c>
      <c r="H182" s="19">
        <v>4.7</v>
      </c>
      <c r="I182" s="71" t="s">
        <v>19</v>
      </c>
      <c r="J182" s="27" t="s">
        <v>255</v>
      </c>
      <c r="K182" s="27" t="s">
        <v>750</v>
      </c>
      <c r="L182" s="27" t="s">
        <v>256</v>
      </c>
      <c r="M182" s="3">
        <v>0.51</v>
      </c>
      <c r="N182" s="3"/>
      <c r="O182" s="3">
        <v>0.49</v>
      </c>
      <c r="P182" s="69">
        <f t="shared" si="43"/>
        <v>0.51</v>
      </c>
      <c r="Q182" s="85"/>
      <c r="R182" s="67">
        <v>0.49</v>
      </c>
      <c r="S182" s="67"/>
      <c r="T182" s="40" t="s">
        <v>551</v>
      </c>
      <c r="U182" s="87" t="s">
        <v>932</v>
      </c>
      <c r="V182" s="137" t="s">
        <v>934</v>
      </c>
      <c r="W182" s="46" t="s">
        <v>869</v>
      </c>
      <c r="Z182" t="b">
        <f t="shared" si="34"/>
        <v>1</v>
      </c>
      <c r="AA182" s="46" t="s">
        <v>869</v>
      </c>
      <c r="AB182" s="67">
        <f t="shared" si="41"/>
        <v>1.225E-2</v>
      </c>
      <c r="AC182" s="151">
        <f t="shared" si="35"/>
        <v>2450</v>
      </c>
      <c r="AD182" s="152">
        <f ca="1">((Main!$C$4-E182)*(200000*(H182/100))/360)*0.025</f>
        <v>48.305555555555557</v>
      </c>
      <c r="AE182" s="152">
        <f t="shared" ca="1" si="36"/>
        <v>2498.3055555555557</v>
      </c>
      <c r="AF182" s="153">
        <f t="shared" ca="1" si="37"/>
        <v>9175.0271527777786</v>
      </c>
      <c r="AH182" s="67">
        <f t="shared" si="42"/>
        <v>1.2627300000000001E-2</v>
      </c>
      <c r="AI182" s="151">
        <f t="shared" si="38"/>
        <v>2525.46</v>
      </c>
      <c r="AJ182">
        <f ca="1">((Main!$C$4-E182)*(200000*(H182/100))/360)*0.02577</f>
        <v>49.793366666666671</v>
      </c>
      <c r="AK182" s="152">
        <f t="shared" ca="1" si="39"/>
        <v>2575.2533666666668</v>
      </c>
      <c r="AL182" s="153">
        <f t="shared" ca="1" si="40"/>
        <v>9457.6179890833337</v>
      </c>
    </row>
    <row r="183" spans="1:38" ht="12.75" customHeight="1" x14ac:dyDescent="0.35">
      <c r="A183" s="46" t="s">
        <v>870</v>
      </c>
      <c r="B183" s="38" t="s">
        <v>277</v>
      </c>
      <c r="C183" s="46" t="s">
        <v>870</v>
      </c>
      <c r="D183" s="22" t="s">
        <v>278</v>
      </c>
      <c r="E183" s="75">
        <f t="shared" si="31"/>
        <v>45992</v>
      </c>
      <c r="F183" s="75" t="s">
        <v>642</v>
      </c>
      <c r="G183" s="74">
        <f t="shared" si="32"/>
        <v>46357</v>
      </c>
      <c r="H183" s="19">
        <v>5</v>
      </c>
      <c r="I183" s="71" t="s">
        <v>19</v>
      </c>
      <c r="J183" s="27" t="s">
        <v>255</v>
      </c>
      <c r="K183" s="27" t="s">
        <v>750</v>
      </c>
      <c r="L183" s="27" t="s">
        <v>256</v>
      </c>
      <c r="M183" s="3">
        <v>0.51</v>
      </c>
      <c r="N183" s="3"/>
      <c r="O183" s="3">
        <v>0.49</v>
      </c>
      <c r="P183" s="69">
        <f t="shared" si="43"/>
        <v>0.51</v>
      </c>
      <c r="Q183" s="85"/>
      <c r="R183" s="67">
        <v>0.49</v>
      </c>
      <c r="S183" s="67"/>
      <c r="T183" s="40" t="s">
        <v>551</v>
      </c>
      <c r="U183" s="87" t="s">
        <v>932</v>
      </c>
      <c r="V183" s="137" t="s">
        <v>934</v>
      </c>
      <c r="W183" s="46" t="s">
        <v>870</v>
      </c>
      <c r="Z183" t="b">
        <f t="shared" si="34"/>
        <v>1</v>
      </c>
      <c r="AA183" s="46" t="s">
        <v>870</v>
      </c>
      <c r="AB183" s="67">
        <f t="shared" si="41"/>
        <v>1.225E-2</v>
      </c>
      <c r="AC183" s="151">
        <f t="shared" si="35"/>
        <v>2450</v>
      </c>
      <c r="AD183" s="152">
        <f ca="1">((Main!$C$4-E183)*(200000*(H183/100))/360)*0.025</f>
        <v>54.861111111111114</v>
      </c>
      <c r="AE183" s="152">
        <f t="shared" ca="1" si="36"/>
        <v>2504.8611111111113</v>
      </c>
      <c r="AF183" s="153">
        <f t="shared" ca="1" si="37"/>
        <v>9199.1024305555566</v>
      </c>
      <c r="AH183" s="67">
        <f t="shared" si="42"/>
        <v>1.2627300000000001E-2</v>
      </c>
      <c r="AI183" s="151">
        <f t="shared" si="38"/>
        <v>2525.46</v>
      </c>
      <c r="AJ183">
        <f ca="1">((Main!$C$4-E183)*(200000*(H183/100))/360)*0.02577</f>
        <v>56.550833333333337</v>
      </c>
      <c r="AK183" s="152">
        <f t="shared" ca="1" si="39"/>
        <v>2582.0108333333333</v>
      </c>
      <c r="AL183" s="153">
        <f t="shared" ca="1" si="40"/>
        <v>9482.4347854166663</v>
      </c>
    </row>
    <row r="184" spans="1:38" ht="12.75" customHeight="1" x14ac:dyDescent="0.35">
      <c r="A184" s="46" t="s">
        <v>871</v>
      </c>
      <c r="B184" s="38" t="s">
        <v>279</v>
      </c>
      <c r="C184" s="46" t="s">
        <v>871</v>
      </c>
      <c r="D184" s="22" t="s">
        <v>280</v>
      </c>
      <c r="E184" s="75">
        <f t="shared" si="31"/>
        <v>45986</v>
      </c>
      <c r="F184" s="75" t="s">
        <v>656</v>
      </c>
      <c r="G184" s="74">
        <f t="shared" si="32"/>
        <v>46351</v>
      </c>
      <c r="H184" s="19">
        <v>5</v>
      </c>
      <c r="I184" s="71" t="s">
        <v>19</v>
      </c>
      <c r="J184" s="27" t="s">
        <v>255</v>
      </c>
      <c r="K184" s="27" t="s">
        <v>750</v>
      </c>
      <c r="L184" s="27" t="s">
        <v>256</v>
      </c>
      <c r="M184" s="3">
        <v>0.51</v>
      </c>
      <c r="N184" s="3"/>
      <c r="O184" s="3">
        <v>0.49</v>
      </c>
      <c r="P184" s="69">
        <f t="shared" si="43"/>
        <v>0.51</v>
      </c>
      <c r="Q184" s="85"/>
      <c r="R184" s="67">
        <v>0.49</v>
      </c>
      <c r="S184" s="67"/>
      <c r="T184" s="40" t="s">
        <v>551</v>
      </c>
      <c r="U184" s="87" t="s">
        <v>932</v>
      </c>
      <c r="V184" s="137" t="s">
        <v>934</v>
      </c>
      <c r="W184" s="46" t="s">
        <v>871</v>
      </c>
      <c r="Z184" t="b">
        <f t="shared" si="34"/>
        <v>1</v>
      </c>
      <c r="AA184" s="46" t="s">
        <v>871</v>
      </c>
      <c r="AB184" s="67">
        <f t="shared" si="41"/>
        <v>1.225E-2</v>
      </c>
      <c r="AC184" s="151">
        <f t="shared" si="35"/>
        <v>2450</v>
      </c>
      <c r="AD184" s="152">
        <f ca="1">((Main!$C$4-E184)*(200000*(H184/100))/360)*0.025</f>
        <v>59.027777777777786</v>
      </c>
      <c r="AE184" s="152">
        <f t="shared" ca="1" si="36"/>
        <v>2509.0277777777778</v>
      </c>
      <c r="AF184" s="153">
        <f t="shared" ca="1" si="37"/>
        <v>9214.4045138888887</v>
      </c>
      <c r="AH184" s="67">
        <f t="shared" si="42"/>
        <v>1.2627300000000001E-2</v>
      </c>
      <c r="AI184" s="151">
        <f t="shared" si="38"/>
        <v>2525.46</v>
      </c>
      <c r="AJ184">
        <f ca="1">((Main!$C$4-E184)*(200000*(H184/100))/360)*0.02577</f>
        <v>60.845833333333339</v>
      </c>
      <c r="AK184" s="152">
        <f t="shared" ca="1" si="39"/>
        <v>2586.3058333333333</v>
      </c>
      <c r="AL184" s="153">
        <f t="shared" ca="1" si="40"/>
        <v>9498.2081729166657</v>
      </c>
    </row>
    <row r="185" spans="1:38" ht="12.75" customHeight="1" x14ac:dyDescent="0.35">
      <c r="A185" s="46" t="s">
        <v>872</v>
      </c>
      <c r="B185" s="38" t="s">
        <v>281</v>
      </c>
      <c r="C185" s="46" t="s">
        <v>872</v>
      </c>
      <c r="D185" s="22" t="s">
        <v>282</v>
      </c>
      <c r="E185" s="75">
        <f t="shared" si="31"/>
        <v>46024</v>
      </c>
      <c r="F185" s="75" t="s">
        <v>593</v>
      </c>
      <c r="G185" s="74">
        <f t="shared" si="32"/>
        <v>46389</v>
      </c>
      <c r="H185" s="19">
        <v>5.0999999999999996</v>
      </c>
      <c r="I185" s="71" t="s">
        <v>19</v>
      </c>
      <c r="J185" s="27" t="s">
        <v>255</v>
      </c>
      <c r="K185" s="27" t="s">
        <v>750</v>
      </c>
      <c r="L185" s="27" t="s">
        <v>256</v>
      </c>
      <c r="M185" s="3">
        <v>0.51</v>
      </c>
      <c r="N185" s="3"/>
      <c r="O185" s="3">
        <v>0.49</v>
      </c>
      <c r="P185" s="69">
        <f t="shared" si="43"/>
        <v>0.51</v>
      </c>
      <c r="Q185" s="85"/>
      <c r="R185" s="67">
        <v>0.49</v>
      </c>
      <c r="S185" s="67"/>
      <c r="T185" s="40" t="s">
        <v>551</v>
      </c>
      <c r="U185" s="87" t="s">
        <v>932</v>
      </c>
      <c r="V185" s="137" t="s">
        <v>934</v>
      </c>
      <c r="W185" s="46" t="s">
        <v>872</v>
      </c>
      <c r="Z185" t="b">
        <f t="shared" si="34"/>
        <v>1</v>
      </c>
      <c r="AA185" s="46" t="s">
        <v>872</v>
      </c>
      <c r="AB185" s="67">
        <f t="shared" si="41"/>
        <v>1.225E-2</v>
      </c>
      <c r="AC185" s="151">
        <f t="shared" si="35"/>
        <v>2450</v>
      </c>
      <c r="AD185" s="152">
        <f ca="1">((Main!$C$4-E185)*(200000*(H185/100))/360)*0.025</f>
        <v>33.291666666666671</v>
      </c>
      <c r="AE185" s="152">
        <f t="shared" ca="1" si="36"/>
        <v>2483.2916666666665</v>
      </c>
      <c r="AF185" s="153">
        <f t="shared" ca="1" si="37"/>
        <v>9119.8886458333327</v>
      </c>
      <c r="AH185" s="67">
        <f t="shared" si="42"/>
        <v>1.2627300000000001E-2</v>
      </c>
      <c r="AI185" s="151">
        <f t="shared" si="38"/>
        <v>2525.46</v>
      </c>
      <c r="AJ185">
        <f ca="1">((Main!$C$4-E185)*(200000*(H185/100))/360)*0.02577</f>
        <v>34.317050000000002</v>
      </c>
      <c r="AK185" s="152">
        <f t="shared" ca="1" si="39"/>
        <v>2559.7770500000001</v>
      </c>
      <c r="AL185" s="153">
        <f t="shared" ca="1" si="40"/>
        <v>9400.7812161250004</v>
      </c>
    </row>
    <row r="186" spans="1:38" ht="12.75" customHeight="1" x14ac:dyDescent="0.35">
      <c r="A186" s="46" t="s">
        <v>873</v>
      </c>
      <c r="B186" s="38" t="s">
        <v>283</v>
      </c>
      <c r="C186" s="46" t="s">
        <v>873</v>
      </c>
      <c r="D186" s="22" t="s">
        <v>284</v>
      </c>
      <c r="E186" s="75">
        <f t="shared" si="31"/>
        <v>46024</v>
      </c>
      <c r="F186" s="75" t="s">
        <v>593</v>
      </c>
      <c r="G186" s="74">
        <f t="shared" si="32"/>
        <v>46389</v>
      </c>
      <c r="H186" s="19">
        <v>5.2</v>
      </c>
      <c r="I186" s="71" t="s">
        <v>19</v>
      </c>
      <c r="J186" s="27" t="s">
        <v>255</v>
      </c>
      <c r="K186" s="27" t="s">
        <v>750</v>
      </c>
      <c r="L186" s="27" t="s">
        <v>256</v>
      </c>
      <c r="M186" s="3">
        <v>0.51</v>
      </c>
      <c r="N186" s="3"/>
      <c r="O186" s="3">
        <v>0.49</v>
      </c>
      <c r="P186" s="69">
        <f t="shared" si="43"/>
        <v>0.51</v>
      </c>
      <c r="Q186" s="85"/>
      <c r="R186" s="67">
        <v>0.49</v>
      </c>
      <c r="S186" s="67"/>
      <c r="T186" s="40" t="s">
        <v>551</v>
      </c>
      <c r="U186" s="87" t="s">
        <v>932</v>
      </c>
      <c r="V186" s="137" t="s">
        <v>934</v>
      </c>
      <c r="W186" s="46" t="s">
        <v>873</v>
      </c>
      <c r="Z186" t="b">
        <f t="shared" si="34"/>
        <v>1</v>
      </c>
      <c r="AA186" s="46" t="s">
        <v>873</v>
      </c>
      <c r="AB186" s="67">
        <f t="shared" si="41"/>
        <v>1.225E-2</v>
      </c>
      <c r="AC186" s="151">
        <f t="shared" si="35"/>
        <v>2450</v>
      </c>
      <c r="AD186" s="152">
        <f ca="1">((Main!$C$4-E186)*(200000*(H186/100))/360)*0.025</f>
        <v>33.94444444444445</v>
      </c>
      <c r="AE186" s="152">
        <f t="shared" ca="1" si="36"/>
        <v>2483.9444444444443</v>
      </c>
      <c r="AF186" s="153">
        <f t="shared" ca="1" si="37"/>
        <v>9122.285972222222</v>
      </c>
      <c r="AH186" s="67">
        <f t="shared" si="42"/>
        <v>1.2627300000000001E-2</v>
      </c>
      <c r="AI186" s="151">
        <f t="shared" si="38"/>
        <v>2525.46</v>
      </c>
      <c r="AJ186">
        <f ca="1">((Main!$C$4-E186)*(200000*(H186/100))/360)*0.02577</f>
        <v>34.989933333333333</v>
      </c>
      <c r="AK186" s="152">
        <f t="shared" ca="1" si="39"/>
        <v>2560.4499333333333</v>
      </c>
      <c r="AL186" s="153">
        <f t="shared" ca="1" si="40"/>
        <v>9403.2523801666666</v>
      </c>
    </row>
    <row r="187" spans="1:38" ht="12.75" customHeight="1" x14ac:dyDescent="0.35">
      <c r="A187" s="46" t="s">
        <v>874</v>
      </c>
      <c r="B187" s="38" t="s">
        <v>285</v>
      </c>
      <c r="C187" s="46" t="s">
        <v>874</v>
      </c>
      <c r="D187" s="22" t="s">
        <v>286</v>
      </c>
      <c r="E187" s="75">
        <f t="shared" si="31"/>
        <v>46045</v>
      </c>
      <c r="F187" s="75" t="s">
        <v>635</v>
      </c>
      <c r="G187" s="74">
        <f t="shared" si="32"/>
        <v>46410</v>
      </c>
      <c r="H187" s="19">
        <v>5.2</v>
      </c>
      <c r="I187" s="71" t="s">
        <v>19</v>
      </c>
      <c r="J187" s="27" t="s">
        <v>255</v>
      </c>
      <c r="K187" s="27" t="s">
        <v>750</v>
      </c>
      <c r="L187" s="27" t="s">
        <v>256</v>
      </c>
      <c r="M187" s="3">
        <v>0.51</v>
      </c>
      <c r="N187" s="3"/>
      <c r="O187" s="3">
        <v>0.49</v>
      </c>
      <c r="P187" s="69">
        <f t="shared" si="43"/>
        <v>0.51</v>
      </c>
      <c r="Q187" s="85"/>
      <c r="R187" s="67">
        <v>0.49</v>
      </c>
      <c r="S187" s="67"/>
      <c r="T187" s="40" t="s">
        <v>551</v>
      </c>
      <c r="U187" s="87" t="s">
        <v>932</v>
      </c>
      <c r="V187" s="137" t="s">
        <v>934</v>
      </c>
      <c r="W187" s="46" t="s">
        <v>874</v>
      </c>
      <c r="Z187" t="b">
        <f t="shared" si="34"/>
        <v>1</v>
      </c>
      <c r="AA187" s="46" t="s">
        <v>874</v>
      </c>
      <c r="AB187" s="67">
        <f t="shared" si="41"/>
        <v>1.225E-2</v>
      </c>
      <c r="AC187" s="151">
        <f t="shared" si="35"/>
        <v>2450</v>
      </c>
      <c r="AD187" s="152">
        <f ca="1">((Main!$C$4-E187)*(200000*(H187/100))/360)*0.025</f>
        <v>18.777777777777782</v>
      </c>
      <c r="AE187" s="152">
        <f t="shared" ca="1" si="36"/>
        <v>2468.7777777777778</v>
      </c>
      <c r="AF187" s="153">
        <f t="shared" ca="1" si="37"/>
        <v>9066.5863888888889</v>
      </c>
      <c r="AH187" s="67">
        <f t="shared" si="42"/>
        <v>1.2627300000000001E-2</v>
      </c>
      <c r="AI187" s="151">
        <f t="shared" si="38"/>
        <v>2525.46</v>
      </c>
      <c r="AJ187">
        <f ca="1">((Main!$C$4-E187)*(200000*(H187/100))/360)*0.02577</f>
        <v>19.356133333333339</v>
      </c>
      <c r="AK187" s="152">
        <f t="shared" ca="1" si="39"/>
        <v>2544.8161333333333</v>
      </c>
      <c r="AL187" s="153">
        <f t="shared" ca="1" si="40"/>
        <v>9345.8372496666652</v>
      </c>
    </row>
    <row r="188" spans="1:38" ht="12.75" customHeight="1" x14ac:dyDescent="0.35">
      <c r="A188" s="46" t="s">
        <v>875</v>
      </c>
      <c r="B188" s="38" t="s">
        <v>287</v>
      </c>
      <c r="C188" s="46" t="s">
        <v>875</v>
      </c>
      <c r="D188" s="22" t="s">
        <v>288</v>
      </c>
      <c r="E188" s="75">
        <f t="shared" si="31"/>
        <v>45986</v>
      </c>
      <c r="F188" s="75" t="s">
        <v>656</v>
      </c>
      <c r="G188" s="74">
        <f t="shared" si="32"/>
        <v>46351</v>
      </c>
      <c r="H188" s="19">
        <v>5.25</v>
      </c>
      <c r="I188" s="71" t="s">
        <v>19</v>
      </c>
      <c r="J188" s="27" t="s">
        <v>255</v>
      </c>
      <c r="K188" s="27" t="s">
        <v>750</v>
      </c>
      <c r="L188" s="27" t="s">
        <v>256</v>
      </c>
      <c r="M188" s="3">
        <v>0.51</v>
      </c>
      <c r="N188" s="3"/>
      <c r="O188" s="3">
        <v>0.49</v>
      </c>
      <c r="P188" s="69">
        <f t="shared" si="43"/>
        <v>0.51</v>
      </c>
      <c r="Q188" s="85"/>
      <c r="R188" s="67">
        <v>0.49</v>
      </c>
      <c r="S188" s="67"/>
      <c r="T188" s="40" t="s">
        <v>551</v>
      </c>
      <c r="U188" s="87" t="s">
        <v>932</v>
      </c>
      <c r="V188" s="137" t="s">
        <v>934</v>
      </c>
      <c r="W188" s="46" t="s">
        <v>875</v>
      </c>
      <c r="Z188" t="b">
        <f t="shared" si="34"/>
        <v>1</v>
      </c>
      <c r="AA188" s="46" t="s">
        <v>875</v>
      </c>
      <c r="AB188" s="67">
        <f t="shared" si="41"/>
        <v>1.225E-2</v>
      </c>
      <c r="AC188" s="151">
        <f t="shared" si="35"/>
        <v>2450</v>
      </c>
      <c r="AD188" s="152">
        <f ca="1">((Main!$C$4-E188)*(200000*(H188/100))/360)*0.025</f>
        <v>61.979166666666664</v>
      </c>
      <c r="AE188" s="152">
        <f t="shared" ca="1" si="36"/>
        <v>2511.9791666666665</v>
      </c>
      <c r="AF188" s="153">
        <f t="shared" ca="1" si="37"/>
        <v>9225.2434895833321</v>
      </c>
      <c r="AH188" s="67">
        <f t="shared" si="42"/>
        <v>1.2627300000000001E-2</v>
      </c>
      <c r="AI188" s="151">
        <f t="shared" si="38"/>
        <v>2525.46</v>
      </c>
      <c r="AJ188">
        <f ca="1">((Main!$C$4-E188)*(200000*(H188/100))/360)*0.02577</f>
        <v>63.888125000000002</v>
      </c>
      <c r="AK188" s="152">
        <f t="shared" ca="1" si="39"/>
        <v>2589.348125</v>
      </c>
      <c r="AL188" s="153">
        <f t="shared" ca="1" si="40"/>
        <v>9509.3809890624998</v>
      </c>
    </row>
    <row r="189" spans="1:38" ht="12.75" customHeight="1" x14ac:dyDescent="0.35">
      <c r="A189" s="46" t="s">
        <v>876</v>
      </c>
      <c r="B189" s="38" t="s">
        <v>289</v>
      </c>
      <c r="C189" s="46" t="s">
        <v>876</v>
      </c>
      <c r="D189" s="22" t="s">
        <v>290</v>
      </c>
      <c r="E189" s="75">
        <f t="shared" si="31"/>
        <v>45976</v>
      </c>
      <c r="F189" s="75" t="s">
        <v>555</v>
      </c>
      <c r="G189" s="74">
        <f t="shared" si="32"/>
        <v>46341</v>
      </c>
      <c r="H189" s="19">
        <v>5.4</v>
      </c>
      <c r="I189" s="71" t="s">
        <v>19</v>
      </c>
      <c r="J189" s="27" t="s">
        <v>255</v>
      </c>
      <c r="K189" s="27" t="s">
        <v>750</v>
      </c>
      <c r="L189" s="27" t="s">
        <v>256</v>
      </c>
      <c r="M189" s="3">
        <v>0.51</v>
      </c>
      <c r="N189" s="3"/>
      <c r="O189" s="3">
        <v>0.49</v>
      </c>
      <c r="P189" s="69">
        <f t="shared" si="43"/>
        <v>0.51</v>
      </c>
      <c r="Q189" s="85"/>
      <c r="R189" s="67">
        <v>0.49</v>
      </c>
      <c r="S189" s="67"/>
      <c r="T189" s="40" t="s">
        <v>551</v>
      </c>
      <c r="U189" s="87" t="s">
        <v>932</v>
      </c>
      <c r="V189" s="137" t="s">
        <v>934</v>
      </c>
      <c r="W189" s="46" t="s">
        <v>876</v>
      </c>
      <c r="Z189" t="b">
        <f t="shared" si="34"/>
        <v>1</v>
      </c>
      <c r="AA189" s="46" t="s">
        <v>876</v>
      </c>
      <c r="AB189" s="67">
        <f t="shared" si="41"/>
        <v>1.225E-2</v>
      </c>
      <c r="AC189" s="151">
        <f t="shared" si="35"/>
        <v>2450</v>
      </c>
      <c r="AD189" s="152">
        <f ca="1">((Main!$C$4-E189)*(200000*(H189/100))/360)*0.025</f>
        <v>71.250000000000014</v>
      </c>
      <c r="AE189" s="152">
        <f t="shared" ca="1" si="36"/>
        <v>2521.25</v>
      </c>
      <c r="AF189" s="153">
        <f t="shared" ca="1" si="37"/>
        <v>9259.2906249999996</v>
      </c>
      <c r="AH189" s="67">
        <f t="shared" si="42"/>
        <v>1.2627300000000001E-2</v>
      </c>
      <c r="AI189" s="151">
        <f t="shared" si="38"/>
        <v>2525.46</v>
      </c>
      <c r="AJ189">
        <f ca="1">((Main!$C$4-E189)*(200000*(H189/100))/360)*0.02577</f>
        <v>73.444500000000019</v>
      </c>
      <c r="AK189" s="152">
        <f t="shared" ca="1" si="39"/>
        <v>2598.9045000000001</v>
      </c>
      <c r="AL189" s="153">
        <f t="shared" ca="1" si="40"/>
        <v>9544.4767762499996</v>
      </c>
    </row>
    <row r="190" spans="1:38" ht="12.75" customHeight="1" x14ac:dyDescent="0.35">
      <c r="A190" s="46" t="s">
        <v>877</v>
      </c>
      <c r="B190" s="38" t="s">
        <v>291</v>
      </c>
      <c r="C190" s="46" t="s">
        <v>877</v>
      </c>
      <c r="D190" s="22" t="s">
        <v>292</v>
      </c>
      <c r="E190" s="75">
        <f t="shared" si="31"/>
        <v>46024</v>
      </c>
      <c r="F190" s="75" t="s">
        <v>593</v>
      </c>
      <c r="G190" s="74">
        <f t="shared" si="32"/>
        <v>46389</v>
      </c>
      <c r="H190" s="19">
        <v>5.5</v>
      </c>
      <c r="I190" s="71" t="s">
        <v>19</v>
      </c>
      <c r="J190" s="27" t="s">
        <v>255</v>
      </c>
      <c r="K190" s="27" t="s">
        <v>750</v>
      </c>
      <c r="L190" s="27" t="s">
        <v>256</v>
      </c>
      <c r="M190" s="3">
        <v>0.51</v>
      </c>
      <c r="N190" s="3"/>
      <c r="O190" s="3">
        <v>0.49</v>
      </c>
      <c r="P190" s="69">
        <f t="shared" si="43"/>
        <v>0.51</v>
      </c>
      <c r="Q190" s="85"/>
      <c r="R190" s="67">
        <v>0.49</v>
      </c>
      <c r="S190" s="67"/>
      <c r="T190" s="40" t="s">
        <v>551</v>
      </c>
      <c r="U190" s="87" t="s">
        <v>932</v>
      </c>
      <c r="V190" s="137" t="s">
        <v>934</v>
      </c>
      <c r="W190" s="46" t="s">
        <v>877</v>
      </c>
      <c r="Z190" t="b">
        <f t="shared" si="34"/>
        <v>1</v>
      </c>
      <c r="AA190" s="46" t="s">
        <v>877</v>
      </c>
      <c r="AB190" s="67">
        <f t="shared" si="41"/>
        <v>1.225E-2</v>
      </c>
      <c r="AC190" s="151">
        <f t="shared" si="35"/>
        <v>2450</v>
      </c>
      <c r="AD190" s="152">
        <f ca="1">((Main!$C$4-E190)*(200000*(H190/100))/360)*0.025</f>
        <v>35.902777777777779</v>
      </c>
      <c r="AE190" s="152">
        <f t="shared" ca="1" si="36"/>
        <v>2485.9027777777778</v>
      </c>
      <c r="AF190" s="153">
        <f t="shared" ca="1" si="37"/>
        <v>9129.477951388888</v>
      </c>
      <c r="AH190" s="67">
        <f t="shared" si="42"/>
        <v>1.2627300000000001E-2</v>
      </c>
      <c r="AI190" s="151">
        <f t="shared" si="38"/>
        <v>2525.46</v>
      </c>
      <c r="AJ190">
        <f ca="1">((Main!$C$4-E190)*(200000*(H190/100))/360)*0.02577</f>
        <v>37.008583333333334</v>
      </c>
      <c r="AK190" s="152">
        <f t="shared" ca="1" si="39"/>
        <v>2562.4685833333333</v>
      </c>
      <c r="AL190" s="153">
        <f t="shared" ca="1" si="40"/>
        <v>9410.6658722916654</v>
      </c>
    </row>
    <row r="191" spans="1:38" ht="12.75" customHeight="1" x14ac:dyDescent="0.35">
      <c r="A191" s="46" t="s">
        <v>860</v>
      </c>
      <c r="B191" s="38" t="s">
        <v>257</v>
      </c>
      <c r="C191" s="46" t="s">
        <v>860</v>
      </c>
      <c r="D191" s="22" t="s">
        <v>258</v>
      </c>
      <c r="E191" s="75">
        <f t="shared" si="31"/>
        <v>46000</v>
      </c>
      <c r="F191" s="75" t="s">
        <v>662</v>
      </c>
      <c r="G191" s="74">
        <f t="shared" si="32"/>
        <v>46365</v>
      </c>
      <c r="H191" s="19">
        <v>1.5</v>
      </c>
      <c r="I191" s="71" t="s">
        <v>19</v>
      </c>
      <c r="J191" s="27" t="s">
        <v>255</v>
      </c>
      <c r="K191" s="27" t="s">
        <v>750</v>
      </c>
      <c r="L191" s="27" t="s">
        <v>256</v>
      </c>
      <c r="M191" s="3">
        <v>0.51</v>
      </c>
      <c r="N191" s="3"/>
      <c r="O191" s="3">
        <v>0.49</v>
      </c>
      <c r="P191" s="69">
        <f t="shared" si="43"/>
        <v>0.51</v>
      </c>
      <c r="Q191" s="85"/>
      <c r="R191" s="67">
        <v>0.49</v>
      </c>
      <c r="S191" s="67"/>
      <c r="T191" s="40" t="s">
        <v>551</v>
      </c>
      <c r="U191" s="87" t="s">
        <v>932</v>
      </c>
      <c r="V191" s="137" t="s">
        <v>934</v>
      </c>
      <c r="W191" s="46" t="s">
        <v>860</v>
      </c>
      <c r="Z191" t="b">
        <f t="shared" si="34"/>
        <v>1</v>
      </c>
      <c r="AA191" s="46" t="s">
        <v>860</v>
      </c>
      <c r="AB191" s="67">
        <f t="shared" si="41"/>
        <v>1.225E-2</v>
      </c>
      <c r="AC191" s="151">
        <f t="shared" si="35"/>
        <v>2450</v>
      </c>
      <c r="AD191" s="152">
        <f ca="1">((Main!$C$4-E191)*(200000*(H191/100))/360)*0.025</f>
        <v>14.791666666666666</v>
      </c>
      <c r="AE191" s="152">
        <f t="shared" ca="1" si="36"/>
        <v>2464.7916666666665</v>
      </c>
      <c r="AF191" s="153">
        <f t="shared" ca="1" si="37"/>
        <v>9051.9473958333328</v>
      </c>
      <c r="AH191" s="67">
        <f t="shared" si="42"/>
        <v>1.2627300000000001E-2</v>
      </c>
      <c r="AI191" s="151">
        <f t="shared" si="38"/>
        <v>2525.46</v>
      </c>
      <c r="AJ191">
        <f ca="1">((Main!$C$4-E191)*(200000*(H191/100))/360)*0.02577</f>
        <v>15.247249999999999</v>
      </c>
      <c r="AK191" s="152">
        <f t="shared" ca="1" si="39"/>
        <v>2540.7072499999999</v>
      </c>
      <c r="AL191" s="153">
        <f t="shared" ca="1" si="40"/>
        <v>9330.7473756250001</v>
      </c>
    </row>
    <row r="192" spans="1:38" ht="12.75" customHeight="1" x14ac:dyDescent="0.35">
      <c r="A192" s="46" t="s">
        <v>878</v>
      </c>
      <c r="B192" s="38" t="s">
        <v>293</v>
      </c>
      <c r="C192" s="46" t="s">
        <v>878</v>
      </c>
      <c r="D192" s="22" t="s">
        <v>294</v>
      </c>
      <c r="E192" s="75">
        <f t="shared" si="31"/>
        <v>45976</v>
      </c>
      <c r="F192" s="75" t="s">
        <v>555</v>
      </c>
      <c r="G192" s="74">
        <f t="shared" si="32"/>
        <v>46341</v>
      </c>
      <c r="H192" s="19">
        <v>5.6</v>
      </c>
      <c r="I192" s="71" t="s">
        <v>19</v>
      </c>
      <c r="J192" s="27" t="s">
        <v>255</v>
      </c>
      <c r="K192" s="27" t="s">
        <v>750</v>
      </c>
      <c r="L192" s="27" t="s">
        <v>256</v>
      </c>
      <c r="M192" s="3">
        <v>0.51</v>
      </c>
      <c r="N192" s="3"/>
      <c r="O192" s="3">
        <v>0.49</v>
      </c>
      <c r="P192" s="69">
        <f t="shared" si="43"/>
        <v>0.51</v>
      </c>
      <c r="Q192" s="85"/>
      <c r="R192" s="67">
        <v>0.49</v>
      </c>
      <c r="S192" s="67"/>
      <c r="T192" s="40" t="s">
        <v>551</v>
      </c>
      <c r="U192" s="87" t="s">
        <v>932</v>
      </c>
      <c r="V192" s="137" t="s">
        <v>934</v>
      </c>
      <c r="W192" s="46" t="s">
        <v>878</v>
      </c>
      <c r="Z192" t="b">
        <f t="shared" si="34"/>
        <v>1</v>
      </c>
      <c r="AA192" s="46" t="s">
        <v>878</v>
      </c>
      <c r="AB192" s="67">
        <f t="shared" si="41"/>
        <v>1.225E-2</v>
      </c>
      <c r="AC192" s="151">
        <f t="shared" si="35"/>
        <v>2450</v>
      </c>
      <c r="AD192" s="152">
        <f ca="1">((Main!$C$4-E192)*(200000*(H192/100))/360)*0.025</f>
        <v>73.888888888888872</v>
      </c>
      <c r="AE192" s="152">
        <f t="shared" ca="1" si="36"/>
        <v>2523.8888888888887</v>
      </c>
      <c r="AF192" s="153">
        <f t="shared" ca="1" si="37"/>
        <v>9268.9819444444438</v>
      </c>
      <c r="AH192" s="67">
        <f t="shared" si="42"/>
        <v>1.2627300000000001E-2</v>
      </c>
      <c r="AI192" s="151">
        <f t="shared" si="38"/>
        <v>2525.46</v>
      </c>
      <c r="AJ192">
        <f ca="1">((Main!$C$4-E192)*(200000*(H192/100))/360)*0.02577</f>
        <v>76.164666666666648</v>
      </c>
      <c r="AK192" s="152">
        <f t="shared" ca="1" si="39"/>
        <v>2601.6246666666666</v>
      </c>
      <c r="AL192" s="153">
        <f t="shared" ca="1" si="40"/>
        <v>9554.4665883333328</v>
      </c>
    </row>
    <row r="193" spans="1:38" ht="12.75" customHeight="1" x14ac:dyDescent="0.35">
      <c r="A193" s="46" t="s">
        <v>879</v>
      </c>
      <c r="B193" s="38" t="s">
        <v>295</v>
      </c>
      <c r="C193" s="46" t="s">
        <v>879</v>
      </c>
      <c r="D193" s="22" t="s">
        <v>296</v>
      </c>
      <c r="E193" s="75">
        <f t="shared" si="31"/>
        <v>45986</v>
      </c>
      <c r="F193" s="75" t="s">
        <v>656</v>
      </c>
      <c r="G193" s="74">
        <f t="shared" si="32"/>
        <v>46351</v>
      </c>
      <c r="H193" s="19">
        <v>5.65</v>
      </c>
      <c r="I193" s="71" t="s">
        <v>19</v>
      </c>
      <c r="J193" s="27" t="s">
        <v>255</v>
      </c>
      <c r="K193" s="27" t="s">
        <v>750</v>
      </c>
      <c r="L193" s="27" t="s">
        <v>256</v>
      </c>
      <c r="M193" s="3">
        <v>0.51</v>
      </c>
      <c r="N193" s="3"/>
      <c r="O193" s="3">
        <v>0.49</v>
      </c>
      <c r="P193" s="69">
        <f t="shared" si="43"/>
        <v>0.51</v>
      </c>
      <c r="Q193" s="85"/>
      <c r="R193" s="67">
        <v>0.49</v>
      </c>
      <c r="S193" s="67"/>
      <c r="T193" s="40" t="s">
        <v>551</v>
      </c>
      <c r="U193" s="87" t="s">
        <v>932</v>
      </c>
      <c r="V193" s="137" t="s">
        <v>934</v>
      </c>
      <c r="W193" s="46" t="s">
        <v>879</v>
      </c>
      <c r="Z193" t="b">
        <f t="shared" si="34"/>
        <v>1</v>
      </c>
      <c r="AA193" s="46" t="s">
        <v>879</v>
      </c>
      <c r="AB193" s="67">
        <f t="shared" si="41"/>
        <v>1.225E-2</v>
      </c>
      <c r="AC193" s="151">
        <f t="shared" si="35"/>
        <v>2450</v>
      </c>
      <c r="AD193" s="152">
        <f ca="1">((Main!$C$4-E193)*(200000*(H193/100))/360)*0.025</f>
        <v>66.7013888888889</v>
      </c>
      <c r="AE193" s="152">
        <f t="shared" ca="1" si="36"/>
        <v>2516.7013888888887</v>
      </c>
      <c r="AF193" s="153">
        <f t="shared" ca="1" si="37"/>
        <v>9242.5858506944442</v>
      </c>
      <c r="AH193" s="67">
        <f t="shared" si="42"/>
        <v>1.2627300000000001E-2</v>
      </c>
      <c r="AI193" s="151">
        <f t="shared" si="38"/>
        <v>2525.46</v>
      </c>
      <c r="AJ193">
        <f ca="1">((Main!$C$4-E193)*(200000*(H193/100))/360)*0.02577</f>
        <v>68.755791666666667</v>
      </c>
      <c r="AK193" s="152">
        <f t="shared" ca="1" si="39"/>
        <v>2594.2157916666665</v>
      </c>
      <c r="AL193" s="153">
        <f t="shared" ca="1" si="40"/>
        <v>9527.2574948958318</v>
      </c>
    </row>
    <row r="194" spans="1:38" ht="12.75" customHeight="1" x14ac:dyDescent="0.35">
      <c r="A194" s="46" t="s">
        <v>880</v>
      </c>
      <c r="B194" s="38" t="s">
        <v>297</v>
      </c>
      <c r="C194" s="46" t="s">
        <v>880</v>
      </c>
      <c r="D194" s="22" t="s">
        <v>298</v>
      </c>
      <c r="E194" s="75">
        <f t="shared" ref="E194:E223" si="45">EDATE(F194,-6)</f>
        <v>45929</v>
      </c>
      <c r="F194" s="75" t="s">
        <v>560</v>
      </c>
      <c r="G194" s="74">
        <f t="shared" ref="G194:G223" si="46">EDATE(F194,6)</f>
        <v>46294</v>
      </c>
      <c r="H194" s="19">
        <v>4.1500000000000004</v>
      </c>
      <c r="I194" s="71" t="s">
        <v>19</v>
      </c>
      <c r="J194" s="27" t="s">
        <v>255</v>
      </c>
      <c r="K194" s="27" t="s">
        <v>750</v>
      </c>
      <c r="L194" s="27" t="s">
        <v>256</v>
      </c>
      <c r="M194" s="3">
        <v>0.51</v>
      </c>
      <c r="N194" s="3"/>
      <c r="O194" s="3">
        <v>0.49</v>
      </c>
      <c r="P194" s="69">
        <f t="shared" si="43"/>
        <v>0.51</v>
      </c>
      <c r="Q194" s="85"/>
      <c r="R194" s="67">
        <v>0.49</v>
      </c>
      <c r="S194" s="67"/>
      <c r="T194" s="40" t="s">
        <v>551</v>
      </c>
      <c r="U194" s="87" t="s">
        <v>932</v>
      </c>
      <c r="V194" s="137" t="s">
        <v>934</v>
      </c>
      <c r="W194" s="46" t="s">
        <v>880</v>
      </c>
      <c r="Z194" t="b">
        <f t="shared" ref="Z194:Z223" si="47">AA194=A194</f>
        <v>1</v>
      </c>
      <c r="AA194" s="46" t="s">
        <v>880</v>
      </c>
      <c r="AB194" s="67">
        <f t="shared" si="41"/>
        <v>1.225E-2</v>
      </c>
      <c r="AC194" s="151">
        <f t="shared" si="35"/>
        <v>2450</v>
      </c>
      <c r="AD194" s="152">
        <f ca="1">((Main!$C$4-E194)*(200000*(H194/100))/360)*0.025</f>
        <v>81.847222222222229</v>
      </c>
      <c r="AE194" s="152">
        <f t="shared" ca="1" si="36"/>
        <v>2531.8472222222222</v>
      </c>
      <c r="AF194" s="153">
        <f t="shared" ca="1" si="37"/>
        <v>9298.2089236111115</v>
      </c>
      <c r="AH194" s="67">
        <f t="shared" si="42"/>
        <v>1.2627300000000001E-2</v>
      </c>
      <c r="AI194" s="151">
        <f t="shared" si="38"/>
        <v>2525.46</v>
      </c>
      <c r="AJ194">
        <f ca="1">((Main!$C$4-E194)*(200000*(H194/100))/360)*0.02577</f>
        <v>84.368116666666666</v>
      </c>
      <c r="AK194" s="152">
        <f t="shared" ca="1" si="39"/>
        <v>2609.8281166666666</v>
      </c>
      <c r="AL194" s="153">
        <f t="shared" ca="1" si="40"/>
        <v>9584.5937584583335</v>
      </c>
    </row>
    <row r="195" spans="1:38" ht="12.75" customHeight="1" x14ac:dyDescent="0.35">
      <c r="A195" s="46" t="s">
        <v>861</v>
      </c>
      <c r="B195" s="38" t="s">
        <v>259</v>
      </c>
      <c r="C195" s="46" t="s">
        <v>861</v>
      </c>
      <c r="D195" s="22" t="s">
        <v>260</v>
      </c>
      <c r="E195" s="75">
        <f t="shared" si="45"/>
        <v>46000</v>
      </c>
      <c r="F195" s="75" t="s">
        <v>662</v>
      </c>
      <c r="G195" s="74">
        <f t="shared" si="46"/>
        <v>46365</v>
      </c>
      <c r="H195" s="19">
        <v>2.5499999999999998</v>
      </c>
      <c r="I195" s="71" t="s">
        <v>19</v>
      </c>
      <c r="J195" s="27" t="s">
        <v>255</v>
      </c>
      <c r="K195" s="27" t="s">
        <v>750</v>
      </c>
      <c r="L195" s="27" t="s">
        <v>256</v>
      </c>
      <c r="M195" s="3">
        <v>0.51</v>
      </c>
      <c r="N195" s="3"/>
      <c r="O195" s="3">
        <v>0.49</v>
      </c>
      <c r="P195" s="69">
        <f t="shared" si="43"/>
        <v>0.51</v>
      </c>
      <c r="Q195" s="85"/>
      <c r="R195" s="67">
        <v>0.49</v>
      </c>
      <c r="S195" s="67"/>
      <c r="T195" s="40" t="s">
        <v>551</v>
      </c>
      <c r="U195" s="87" t="s">
        <v>932</v>
      </c>
      <c r="V195" s="137" t="s">
        <v>934</v>
      </c>
      <c r="W195" s="46" t="s">
        <v>861</v>
      </c>
      <c r="Z195" t="b">
        <f t="shared" si="47"/>
        <v>1</v>
      </c>
      <c r="AA195" s="46" t="s">
        <v>861</v>
      </c>
      <c r="AB195" s="67">
        <f t="shared" si="41"/>
        <v>1.225E-2</v>
      </c>
      <c r="AC195" s="151">
        <f t="shared" ref="AC195:AC223" si="48">200000*AB195</f>
        <v>2450</v>
      </c>
      <c r="AD195" s="152">
        <f ca="1">((Main!$C$4-E195)*(200000*(H195/100))/360)*0.025</f>
        <v>25.145833333333336</v>
      </c>
      <c r="AE195" s="152">
        <f t="shared" ref="AE195:AE223" ca="1" si="49">AD195+AC195</f>
        <v>2475.1458333333335</v>
      </c>
      <c r="AF195" s="153">
        <f t="shared" ref="AF195:AF223" ca="1" si="50">AE195*3.6725</f>
        <v>9089.9730729166677</v>
      </c>
      <c r="AH195" s="67">
        <f t="shared" si="42"/>
        <v>1.2627300000000001E-2</v>
      </c>
      <c r="AI195" s="151">
        <f t="shared" ref="AI195:AI223" si="51">200000*AH195</f>
        <v>2525.46</v>
      </c>
      <c r="AJ195">
        <f ca="1">((Main!$C$4-E195)*(200000*(H195/100))/360)*0.02577</f>
        <v>25.920325000000002</v>
      </c>
      <c r="AK195" s="152">
        <f t="shared" ref="AK195:AK223" ca="1" si="52">AJ195+AI195</f>
        <v>2551.3803250000001</v>
      </c>
      <c r="AL195" s="153">
        <f t="shared" ref="AL195:AL223" ca="1" si="53">AK195*3.6725</f>
        <v>9369.9442435625006</v>
      </c>
    </row>
    <row r="196" spans="1:38" ht="12.75" customHeight="1" x14ac:dyDescent="0.35">
      <c r="A196" s="46" t="s">
        <v>862</v>
      </c>
      <c r="B196" s="38" t="s">
        <v>261</v>
      </c>
      <c r="C196" s="46" t="s">
        <v>862</v>
      </c>
      <c r="D196" s="22" t="s">
        <v>262</v>
      </c>
      <c r="E196" s="75">
        <f t="shared" si="45"/>
        <v>46014</v>
      </c>
      <c r="F196" s="75" t="s">
        <v>663</v>
      </c>
      <c r="G196" s="74">
        <f t="shared" si="46"/>
        <v>46379</v>
      </c>
      <c r="H196" s="19">
        <v>2.8</v>
      </c>
      <c r="I196" s="71" t="s">
        <v>19</v>
      </c>
      <c r="J196" s="27" t="s">
        <v>255</v>
      </c>
      <c r="K196" s="27" t="s">
        <v>750</v>
      </c>
      <c r="L196" s="27" t="s">
        <v>256</v>
      </c>
      <c r="M196" s="3">
        <v>0.51</v>
      </c>
      <c r="N196" s="3"/>
      <c r="O196" s="3">
        <v>0.49</v>
      </c>
      <c r="P196" s="69">
        <f t="shared" si="43"/>
        <v>0.51</v>
      </c>
      <c r="Q196" s="85"/>
      <c r="R196" s="67">
        <v>0.49</v>
      </c>
      <c r="S196" s="67"/>
      <c r="T196" s="40" t="s">
        <v>551</v>
      </c>
      <c r="U196" s="87" t="s">
        <v>932</v>
      </c>
      <c r="V196" s="137" t="s">
        <v>934</v>
      </c>
      <c r="W196" s="46" t="s">
        <v>862</v>
      </c>
      <c r="Z196" t="b">
        <f t="shared" si="47"/>
        <v>1</v>
      </c>
      <c r="AA196" s="46" t="s">
        <v>862</v>
      </c>
      <c r="AB196" s="67">
        <f t="shared" ref="AB196:AB223" si="54">R196*0.025</f>
        <v>1.225E-2</v>
      </c>
      <c r="AC196" s="151">
        <f t="shared" si="48"/>
        <v>2450</v>
      </c>
      <c r="AD196" s="152">
        <f ca="1">((Main!$C$4-E196)*(200000*(H196/100))/360)*0.025</f>
        <v>22.166666666666664</v>
      </c>
      <c r="AE196" s="152">
        <f t="shared" ca="1" si="49"/>
        <v>2472.1666666666665</v>
      </c>
      <c r="AF196" s="153">
        <f t="shared" ca="1" si="50"/>
        <v>9079.0320833333317</v>
      </c>
      <c r="AH196" s="67">
        <f t="shared" ref="AH196:AH223" si="55">R196*0.02577</f>
        <v>1.2627300000000001E-2</v>
      </c>
      <c r="AI196" s="151">
        <f t="shared" si="51"/>
        <v>2525.46</v>
      </c>
      <c r="AJ196">
        <f ca="1">((Main!$C$4-E196)*(200000*(H196/100))/360)*0.02577</f>
        <v>22.849399999999996</v>
      </c>
      <c r="AK196" s="152">
        <f t="shared" ca="1" si="52"/>
        <v>2548.3094000000001</v>
      </c>
      <c r="AL196" s="153">
        <f t="shared" ca="1" si="53"/>
        <v>9358.6662715000002</v>
      </c>
    </row>
    <row r="197" spans="1:38" ht="12.75" customHeight="1" x14ac:dyDescent="0.35">
      <c r="A197" s="46" t="s">
        <v>863</v>
      </c>
      <c r="B197" s="38" t="s">
        <v>263</v>
      </c>
      <c r="C197" s="46" t="s">
        <v>863</v>
      </c>
      <c r="D197" s="22" t="s">
        <v>264</v>
      </c>
      <c r="E197" s="75">
        <f t="shared" si="45"/>
        <v>46014</v>
      </c>
      <c r="F197" s="75" t="s">
        <v>663</v>
      </c>
      <c r="G197" s="74">
        <f t="shared" si="46"/>
        <v>46379</v>
      </c>
      <c r="H197" s="19">
        <v>3.8</v>
      </c>
      <c r="I197" s="71" t="s">
        <v>19</v>
      </c>
      <c r="J197" s="27" t="s">
        <v>255</v>
      </c>
      <c r="K197" s="27" t="s">
        <v>750</v>
      </c>
      <c r="L197" s="27" t="s">
        <v>256</v>
      </c>
      <c r="M197" s="3">
        <v>0.51</v>
      </c>
      <c r="N197" s="3"/>
      <c r="O197" s="3">
        <v>0.49</v>
      </c>
      <c r="P197" s="69">
        <f t="shared" si="43"/>
        <v>0.51</v>
      </c>
      <c r="Q197" s="85"/>
      <c r="R197" s="67">
        <v>0.49</v>
      </c>
      <c r="S197" s="67"/>
      <c r="T197" s="40" t="s">
        <v>551</v>
      </c>
      <c r="U197" s="87" t="s">
        <v>932</v>
      </c>
      <c r="V197" s="137" t="s">
        <v>934</v>
      </c>
      <c r="W197" s="46" t="s">
        <v>863</v>
      </c>
      <c r="Z197" t="b">
        <f t="shared" si="47"/>
        <v>1</v>
      </c>
      <c r="AA197" s="46" t="s">
        <v>863</v>
      </c>
      <c r="AB197" s="67">
        <f t="shared" si="54"/>
        <v>1.225E-2</v>
      </c>
      <c r="AC197" s="151">
        <f t="shared" si="48"/>
        <v>2450</v>
      </c>
      <c r="AD197" s="152">
        <f ca="1">((Main!$C$4-E197)*(200000*(H197/100))/360)*0.025</f>
        <v>30.083333333333332</v>
      </c>
      <c r="AE197" s="152">
        <f t="shared" ca="1" si="49"/>
        <v>2480.0833333333335</v>
      </c>
      <c r="AF197" s="153">
        <f t="shared" ca="1" si="50"/>
        <v>9108.1060416666678</v>
      </c>
      <c r="AH197" s="67">
        <f t="shared" si="55"/>
        <v>1.2627300000000001E-2</v>
      </c>
      <c r="AI197" s="151">
        <f t="shared" si="51"/>
        <v>2525.46</v>
      </c>
      <c r="AJ197">
        <f ca="1">((Main!$C$4-E197)*(200000*(H197/100))/360)*0.02577</f>
        <v>31.009899999999998</v>
      </c>
      <c r="AK197" s="152">
        <f t="shared" ca="1" si="52"/>
        <v>2556.4699000000001</v>
      </c>
      <c r="AL197" s="153">
        <f t="shared" ca="1" si="53"/>
        <v>9388.6357077499997</v>
      </c>
    </row>
    <row r="198" spans="1:38" ht="12.75" customHeight="1" x14ac:dyDescent="0.35">
      <c r="A198" s="46" t="s">
        <v>864</v>
      </c>
      <c r="B198" s="38" t="s">
        <v>265</v>
      </c>
      <c r="C198" s="46" t="s">
        <v>864</v>
      </c>
      <c r="D198" s="22" t="s">
        <v>266</v>
      </c>
      <c r="E198" s="75">
        <f t="shared" si="45"/>
        <v>45992</v>
      </c>
      <c r="F198" s="75" t="s">
        <v>642</v>
      </c>
      <c r="G198" s="74">
        <f t="shared" si="46"/>
        <v>46357</v>
      </c>
      <c r="H198" s="19">
        <v>4.5</v>
      </c>
      <c r="I198" s="71" t="s">
        <v>19</v>
      </c>
      <c r="J198" s="27" t="s">
        <v>255</v>
      </c>
      <c r="K198" s="27" t="s">
        <v>750</v>
      </c>
      <c r="L198" s="27" t="s">
        <v>256</v>
      </c>
      <c r="M198" s="3">
        <v>0.51</v>
      </c>
      <c r="N198" s="3"/>
      <c r="O198" s="3">
        <v>0.49</v>
      </c>
      <c r="P198" s="69">
        <f t="shared" si="43"/>
        <v>0.51</v>
      </c>
      <c r="Q198" s="85"/>
      <c r="R198" s="67">
        <v>0.49</v>
      </c>
      <c r="S198" s="67"/>
      <c r="T198" s="40" t="s">
        <v>551</v>
      </c>
      <c r="U198" s="87" t="s">
        <v>932</v>
      </c>
      <c r="V198" s="137" t="s">
        <v>934</v>
      </c>
      <c r="W198" s="46" t="s">
        <v>864</v>
      </c>
      <c r="Z198" t="b">
        <f t="shared" si="47"/>
        <v>1</v>
      </c>
      <c r="AA198" s="46" t="s">
        <v>864</v>
      </c>
      <c r="AB198" s="67">
        <f t="shared" si="54"/>
        <v>1.225E-2</v>
      </c>
      <c r="AC198" s="151">
        <f t="shared" si="48"/>
        <v>2450</v>
      </c>
      <c r="AD198" s="152">
        <f ca="1">((Main!$C$4-E198)*(200000*(H198/100))/360)*0.025</f>
        <v>49.375</v>
      </c>
      <c r="AE198" s="152">
        <f t="shared" ca="1" si="49"/>
        <v>2499.375</v>
      </c>
      <c r="AF198" s="153">
        <f t="shared" ca="1" si="50"/>
        <v>9178.9546874999996</v>
      </c>
      <c r="AH198" s="67">
        <f t="shared" si="55"/>
        <v>1.2627300000000001E-2</v>
      </c>
      <c r="AI198" s="151">
        <f t="shared" si="51"/>
        <v>2525.46</v>
      </c>
      <c r="AJ198">
        <f ca="1">((Main!$C$4-E198)*(200000*(H198/100))/360)*0.02577</f>
        <v>50.89575</v>
      </c>
      <c r="AK198" s="152">
        <f t="shared" ca="1" si="52"/>
        <v>2576.3557500000002</v>
      </c>
      <c r="AL198" s="153">
        <f t="shared" ca="1" si="53"/>
        <v>9461.6664918750012</v>
      </c>
    </row>
    <row r="199" spans="1:38" ht="12.75" customHeight="1" x14ac:dyDescent="0.35">
      <c r="A199" s="46" t="s">
        <v>865</v>
      </c>
      <c r="B199" s="38" t="s">
        <v>267</v>
      </c>
      <c r="C199" s="46" t="s">
        <v>865</v>
      </c>
      <c r="D199" s="22" t="s">
        <v>268</v>
      </c>
      <c r="E199" s="75">
        <f t="shared" si="45"/>
        <v>45901</v>
      </c>
      <c r="F199" s="75" t="s">
        <v>664</v>
      </c>
      <c r="G199" s="74">
        <f t="shared" si="46"/>
        <v>46266</v>
      </c>
      <c r="H199" s="19">
        <v>4.4000000000000004</v>
      </c>
      <c r="I199" s="71" t="s">
        <v>19</v>
      </c>
      <c r="J199" s="27" t="s">
        <v>255</v>
      </c>
      <c r="K199" s="27" t="s">
        <v>750</v>
      </c>
      <c r="L199" s="27" t="s">
        <v>256</v>
      </c>
      <c r="M199" s="3">
        <v>0.51</v>
      </c>
      <c r="N199" s="3"/>
      <c r="O199" s="3">
        <v>0.49</v>
      </c>
      <c r="P199" s="69">
        <f t="shared" si="43"/>
        <v>0.51</v>
      </c>
      <c r="Q199" s="85"/>
      <c r="R199" s="67">
        <v>0.49</v>
      </c>
      <c r="S199" s="67"/>
      <c r="T199" s="40" t="s">
        <v>551</v>
      </c>
      <c r="U199" s="87" t="s">
        <v>932</v>
      </c>
      <c r="V199" s="137" t="s">
        <v>934</v>
      </c>
      <c r="W199" s="46" t="s">
        <v>865</v>
      </c>
      <c r="Z199" t="b">
        <f t="shared" si="47"/>
        <v>1</v>
      </c>
      <c r="AA199" s="46" t="s">
        <v>865</v>
      </c>
      <c r="AB199" s="67">
        <f t="shared" si="54"/>
        <v>1.225E-2</v>
      </c>
      <c r="AC199" s="151">
        <f t="shared" si="48"/>
        <v>2450</v>
      </c>
      <c r="AD199" s="152">
        <f ca="1">((Main!$C$4-E199)*(200000*(H199/100))/360)*0.025</f>
        <v>103.8888888888889</v>
      </c>
      <c r="AE199" s="152">
        <f t="shared" ca="1" si="49"/>
        <v>2553.8888888888887</v>
      </c>
      <c r="AF199" s="153">
        <f t="shared" ca="1" si="50"/>
        <v>9379.1569444444431</v>
      </c>
      <c r="AH199" s="67">
        <f t="shared" si="55"/>
        <v>1.2627300000000001E-2</v>
      </c>
      <c r="AI199" s="151">
        <f t="shared" si="51"/>
        <v>2525.46</v>
      </c>
      <c r="AJ199">
        <f ca="1">((Main!$C$4-E199)*(200000*(H199/100))/360)*0.02577</f>
        <v>107.08866666666667</v>
      </c>
      <c r="AK199" s="152">
        <f t="shared" ca="1" si="52"/>
        <v>2632.5486666666666</v>
      </c>
      <c r="AL199" s="153">
        <f t="shared" ca="1" si="53"/>
        <v>9668.0349783333331</v>
      </c>
    </row>
    <row r="200" spans="1:38" ht="12.75" customHeight="1" x14ac:dyDescent="0.35">
      <c r="A200" s="46" t="s">
        <v>866</v>
      </c>
      <c r="B200" s="38" t="s">
        <v>269</v>
      </c>
      <c r="C200" s="46" t="s">
        <v>866</v>
      </c>
      <c r="D200" s="22" t="s">
        <v>270</v>
      </c>
      <c r="E200" s="75">
        <f t="shared" si="45"/>
        <v>45997</v>
      </c>
      <c r="F200" s="75" t="s">
        <v>644</v>
      </c>
      <c r="G200" s="74">
        <f t="shared" si="46"/>
        <v>46362</v>
      </c>
      <c r="H200" s="19">
        <v>4.4000000000000004</v>
      </c>
      <c r="I200" s="71" t="s">
        <v>19</v>
      </c>
      <c r="J200" s="27" t="s">
        <v>255</v>
      </c>
      <c r="K200" s="27" t="s">
        <v>750</v>
      </c>
      <c r="L200" s="27" t="s">
        <v>256</v>
      </c>
      <c r="M200" s="3">
        <v>0.51</v>
      </c>
      <c r="N200" s="3"/>
      <c r="O200" s="3">
        <v>0.49</v>
      </c>
      <c r="P200" s="69">
        <f t="shared" si="43"/>
        <v>0.51</v>
      </c>
      <c r="Q200" s="85"/>
      <c r="R200" s="67">
        <v>0.49</v>
      </c>
      <c r="S200" s="67"/>
      <c r="T200" s="40" t="s">
        <v>551</v>
      </c>
      <c r="U200" s="87" t="s">
        <v>932</v>
      </c>
      <c r="V200" s="137" t="s">
        <v>934</v>
      </c>
      <c r="W200" s="46" t="s">
        <v>866</v>
      </c>
      <c r="Z200" t="b">
        <f t="shared" si="47"/>
        <v>1</v>
      </c>
      <c r="AA200" s="46" t="s">
        <v>866</v>
      </c>
      <c r="AB200" s="67">
        <f t="shared" si="54"/>
        <v>1.225E-2</v>
      </c>
      <c r="AC200" s="151">
        <f t="shared" si="48"/>
        <v>2450</v>
      </c>
      <c r="AD200" s="152">
        <f ca="1">((Main!$C$4-E200)*(200000*(H200/100))/360)*0.025</f>
        <v>45.222222222222229</v>
      </c>
      <c r="AE200" s="152">
        <f t="shared" ca="1" si="49"/>
        <v>2495.2222222222222</v>
      </c>
      <c r="AF200" s="153">
        <f t="shared" ca="1" si="50"/>
        <v>9163.7036111111101</v>
      </c>
      <c r="AH200" s="67">
        <f t="shared" si="55"/>
        <v>1.2627300000000001E-2</v>
      </c>
      <c r="AI200" s="151">
        <f t="shared" si="51"/>
        <v>2525.46</v>
      </c>
      <c r="AJ200">
        <f ca="1">((Main!$C$4-E200)*(200000*(H200/100))/360)*0.02577</f>
        <v>46.615066666666671</v>
      </c>
      <c r="AK200" s="152">
        <f t="shared" ca="1" si="52"/>
        <v>2572.0750666666668</v>
      </c>
      <c r="AL200" s="153">
        <f t="shared" ca="1" si="53"/>
        <v>9445.945682333333</v>
      </c>
    </row>
    <row r="201" spans="1:38" ht="12.75" customHeight="1" x14ac:dyDescent="0.35">
      <c r="A201" s="46" t="s">
        <v>867</v>
      </c>
      <c r="B201" s="38" t="s">
        <v>271</v>
      </c>
      <c r="C201" s="46" t="s">
        <v>867</v>
      </c>
      <c r="D201" s="22" t="s">
        <v>272</v>
      </c>
      <c r="E201" s="75">
        <f t="shared" si="45"/>
        <v>45889</v>
      </c>
      <c r="F201" s="75" t="s">
        <v>665</v>
      </c>
      <c r="G201" s="74">
        <f t="shared" si="46"/>
        <v>46254</v>
      </c>
      <c r="H201" s="19">
        <v>4.45</v>
      </c>
      <c r="I201" s="71" t="s">
        <v>19</v>
      </c>
      <c r="J201" s="27" t="s">
        <v>255</v>
      </c>
      <c r="K201" s="27" t="s">
        <v>750</v>
      </c>
      <c r="L201" s="27" t="s">
        <v>256</v>
      </c>
      <c r="M201" s="3">
        <v>0.51</v>
      </c>
      <c r="N201" s="3"/>
      <c r="O201" s="3">
        <v>0.49</v>
      </c>
      <c r="P201" s="69">
        <f t="shared" si="43"/>
        <v>0.51</v>
      </c>
      <c r="Q201" s="85"/>
      <c r="R201" s="67">
        <v>0.49</v>
      </c>
      <c r="S201" s="67"/>
      <c r="T201" s="40" t="s">
        <v>551</v>
      </c>
      <c r="U201" s="87" t="s">
        <v>932</v>
      </c>
      <c r="V201" s="137" t="s">
        <v>934</v>
      </c>
      <c r="W201" s="46" t="s">
        <v>867</v>
      </c>
      <c r="Z201" t="b">
        <f t="shared" si="47"/>
        <v>1</v>
      </c>
      <c r="AA201" s="46" t="s">
        <v>867</v>
      </c>
      <c r="AB201" s="67">
        <f t="shared" si="54"/>
        <v>1.225E-2</v>
      </c>
      <c r="AC201" s="151">
        <f t="shared" si="48"/>
        <v>2450</v>
      </c>
      <c r="AD201" s="152">
        <f ca="1">((Main!$C$4-E201)*(200000*(H201/100))/360)*0.025</f>
        <v>112.48611111111114</v>
      </c>
      <c r="AE201" s="152">
        <f t="shared" ca="1" si="49"/>
        <v>2562.4861111111113</v>
      </c>
      <c r="AF201" s="153">
        <f t="shared" ca="1" si="50"/>
        <v>9410.7302430555555</v>
      </c>
      <c r="AH201" s="67">
        <f t="shared" si="55"/>
        <v>1.2627300000000001E-2</v>
      </c>
      <c r="AI201" s="151">
        <f t="shared" si="51"/>
        <v>2525.46</v>
      </c>
      <c r="AJ201">
        <f ca="1">((Main!$C$4-E201)*(200000*(H201/100))/360)*0.02577</f>
        <v>115.95068333333336</v>
      </c>
      <c r="AK201" s="152">
        <f t="shared" ca="1" si="52"/>
        <v>2641.4106833333335</v>
      </c>
      <c r="AL201" s="153">
        <f t="shared" ca="1" si="53"/>
        <v>9700.580734541667</v>
      </c>
    </row>
    <row r="202" spans="1:38" ht="12.75" customHeight="1" x14ac:dyDescent="0.35">
      <c r="A202" s="46" t="s">
        <v>881</v>
      </c>
      <c r="B202" s="38" t="s">
        <v>495</v>
      </c>
      <c r="C202" s="46" t="s">
        <v>881</v>
      </c>
      <c r="D202" s="22" t="s">
        <v>496</v>
      </c>
      <c r="E202" s="75">
        <f t="shared" si="45"/>
        <v>45901</v>
      </c>
      <c r="F202" s="75" t="s">
        <v>664</v>
      </c>
      <c r="G202" s="74">
        <f t="shared" si="46"/>
        <v>46266</v>
      </c>
      <c r="H202" s="19">
        <v>6.75</v>
      </c>
      <c r="I202" s="71" t="s">
        <v>19</v>
      </c>
      <c r="J202" s="2" t="s">
        <v>8</v>
      </c>
      <c r="K202" s="60" t="s">
        <v>741</v>
      </c>
      <c r="L202" s="2" t="s">
        <v>5</v>
      </c>
      <c r="M202" s="3">
        <v>1</v>
      </c>
      <c r="N202" s="3"/>
      <c r="O202" s="3">
        <v>0</v>
      </c>
      <c r="P202" s="69">
        <f t="shared" si="43"/>
        <v>1</v>
      </c>
      <c r="Q202" s="85"/>
      <c r="R202" s="67">
        <v>0</v>
      </c>
      <c r="S202" s="67"/>
      <c r="T202" s="40" t="s">
        <v>550</v>
      </c>
      <c r="U202" s="87" t="s">
        <v>933</v>
      </c>
      <c r="V202" s="137" t="s">
        <v>927</v>
      </c>
      <c r="W202" s="46" t="s">
        <v>881</v>
      </c>
      <c r="Z202" t="b">
        <f t="shared" si="47"/>
        <v>1</v>
      </c>
      <c r="AA202" s="46" t="s">
        <v>881</v>
      </c>
      <c r="AB202" s="67">
        <f t="shared" si="54"/>
        <v>0</v>
      </c>
      <c r="AC202" s="151">
        <f t="shared" si="48"/>
        <v>0</v>
      </c>
      <c r="AD202" s="152">
        <f ca="1">((Main!$C$4-E202)*(200000*(H202/100))/360)*0.025</f>
        <v>159.375</v>
      </c>
      <c r="AE202" s="152">
        <f t="shared" ca="1" si="49"/>
        <v>159.375</v>
      </c>
      <c r="AF202" s="153">
        <f t="shared" ca="1" si="50"/>
        <v>585.3046875</v>
      </c>
      <c r="AH202" s="67">
        <f t="shared" si="55"/>
        <v>0</v>
      </c>
      <c r="AI202" s="151">
        <f t="shared" si="51"/>
        <v>0</v>
      </c>
      <c r="AJ202">
        <f ca="1">((Main!$C$4-E202)*(200000*(H202/100))/360)*0.02577</f>
        <v>164.28375</v>
      </c>
      <c r="AK202" s="152">
        <f t="shared" ca="1" si="52"/>
        <v>164.28375</v>
      </c>
      <c r="AL202" s="153">
        <f t="shared" ca="1" si="53"/>
        <v>603.332071875</v>
      </c>
    </row>
    <row r="203" spans="1:38" ht="12.75" customHeight="1" x14ac:dyDescent="0.35">
      <c r="A203" s="46" t="s">
        <v>882</v>
      </c>
      <c r="B203" s="38" t="s">
        <v>497</v>
      </c>
      <c r="C203" s="46" t="s">
        <v>882</v>
      </c>
      <c r="D203" s="22" t="s">
        <v>498</v>
      </c>
      <c r="E203" s="75">
        <f t="shared" si="45"/>
        <v>46013</v>
      </c>
      <c r="F203" s="75" t="s">
        <v>601</v>
      </c>
      <c r="G203" s="74">
        <f t="shared" si="46"/>
        <v>46378</v>
      </c>
      <c r="H203" s="19">
        <v>5.125</v>
      </c>
      <c r="I203" s="71" t="s">
        <v>19</v>
      </c>
      <c r="J203" s="2" t="s">
        <v>8</v>
      </c>
      <c r="K203" s="60" t="s">
        <v>741</v>
      </c>
      <c r="L203" s="2" t="s">
        <v>5</v>
      </c>
      <c r="M203" s="3">
        <v>1</v>
      </c>
      <c r="N203" s="3"/>
      <c r="O203" s="3">
        <v>0</v>
      </c>
      <c r="P203" s="69">
        <f t="shared" si="43"/>
        <v>1</v>
      </c>
      <c r="Q203" s="85"/>
      <c r="R203" s="67">
        <v>0</v>
      </c>
      <c r="S203" s="67"/>
      <c r="T203" s="40" t="s">
        <v>550</v>
      </c>
      <c r="U203" s="87" t="s">
        <v>933</v>
      </c>
      <c r="V203" s="137" t="s">
        <v>927</v>
      </c>
      <c r="W203" s="46" t="s">
        <v>882</v>
      </c>
      <c r="Z203" t="b">
        <f t="shared" si="47"/>
        <v>1</v>
      </c>
      <c r="AA203" s="46" t="s">
        <v>882</v>
      </c>
      <c r="AB203" s="67">
        <f t="shared" si="54"/>
        <v>0</v>
      </c>
      <c r="AC203" s="151">
        <f t="shared" si="48"/>
        <v>0</v>
      </c>
      <c r="AD203" s="152">
        <f ca="1">((Main!$C$4-E203)*(200000*(H203/100))/360)*0.025</f>
        <v>41.284722222222229</v>
      </c>
      <c r="AE203" s="152">
        <f t="shared" ca="1" si="49"/>
        <v>41.284722222222229</v>
      </c>
      <c r="AF203" s="153">
        <f t="shared" ca="1" si="50"/>
        <v>151.61814236111113</v>
      </c>
      <c r="AH203" s="67">
        <f t="shared" si="55"/>
        <v>0</v>
      </c>
      <c r="AI203" s="151">
        <f t="shared" si="51"/>
        <v>0</v>
      </c>
      <c r="AJ203">
        <f ca="1">((Main!$C$4-E203)*(200000*(H203/100))/360)*0.02577</f>
        <v>42.556291666666667</v>
      </c>
      <c r="AK203" s="152">
        <f t="shared" ca="1" si="52"/>
        <v>42.556291666666667</v>
      </c>
      <c r="AL203" s="153">
        <f t="shared" ca="1" si="53"/>
        <v>156.28798114583333</v>
      </c>
    </row>
    <row r="204" spans="1:38" ht="12.75" customHeight="1" x14ac:dyDescent="0.35">
      <c r="A204" s="46" t="s">
        <v>883</v>
      </c>
      <c r="B204" s="38" t="s">
        <v>499</v>
      </c>
      <c r="C204" s="46" t="s">
        <v>883</v>
      </c>
      <c r="D204" s="22" t="s">
        <v>500</v>
      </c>
      <c r="E204" s="75">
        <f t="shared" si="45"/>
        <v>45956</v>
      </c>
      <c r="F204" s="75" t="s">
        <v>666</v>
      </c>
      <c r="G204" s="74">
        <f t="shared" si="46"/>
        <v>46321</v>
      </c>
      <c r="H204" s="19">
        <v>6.5</v>
      </c>
      <c r="I204" s="71" t="s">
        <v>19</v>
      </c>
      <c r="J204" s="2" t="s">
        <v>8</v>
      </c>
      <c r="K204" s="60" t="s">
        <v>741</v>
      </c>
      <c r="L204" s="2" t="s">
        <v>5</v>
      </c>
      <c r="M204" s="3">
        <v>1</v>
      </c>
      <c r="N204" s="3"/>
      <c r="O204" s="3">
        <v>0</v>
      </c>
      <c r="P204" s="69">
        <f t="shared" si="43"/>
        <v>1</v>
      </c>
      <c r="Q204" s="85"/>
      <c r="R204" s="67">
        <v>0</v>
      </c>
      <c r="S204" s="67"/>
      <c r="T204" s="40" t="s">
        <v>550</v>
      </c>
      <c r="U204" s="87" t="s">
        <v>933</v>
      </c>
      <c r="V204" s="137" t="s">
        <v>927</v>
      </c>
      <c r="W204" s="46" t="s">
        <v>883</v>
      </c>
      <c r="Z204" t="b">
        <f t="shared" si="47"/>
        <v>1</v>
      </c>
      <c r="AA204" s="46" t="s">
        <v>883</v>
      </c>
      <c r="AB204" s="67">
        <f t="shared" si="54"/>
        <v>0</v>
      </c>
      <c r="AC204" s="151">
        <f t="shared" si="48"/>
        <v>0</v>
      </c>
      <c r="AD204" s="152">
        <f ca="1">((Main!$C$4-E204)*(200000*(H204/100))/360)*0.025</f>
        <v>103.81944444444444</v>
      </c>
      <c r="AE204" s="152">
        <f t="shared" ca="1" si="49"/>
        <v>103.81944444444444</v>
      </c>
      <c r="AF204" s="153">
        <f t="shared" ca="1" si="50"/>
        <v>381.27690972222223</v>
      </c>
      <c r="AH204" s="67">
        <f t="shared" si="55"/>
        <v>0</v>
      </c>
      <c r="AI204" s="151">
        <f t="shared" si="51"/>
        <v>0</v>
      </c>
      <c r="AJ204">
        <f ca="1">((Main!$C$4-E204)*(200000*(H204/100))/360)*0.02577</f>
        <v>107.01708333333333</v>
      </c>
      <c r="AK204" s="152">
        <f t="shared" ca="1" si="52"/>
        <v>107.01708333333333</v>
      </c>
      <c r="AL204" s="153">
        <f t="shared" ca="1" si="53"/>
        <v>393.02023854166663</v>
      </c>
    </row>
    <row r="205" spans="1:38" ht="12.75" customHeight="1" x14ac:dyDescent="0.35">
      <c r="A205" s="46" t="s">
        <v>884</v>
      </c>
      <c r="B205" s="38" t="s">
        <v>501</v>
      </c>
      <c r="C205" s="46" t="s">
        <v>884</v>
      </c>
      <c r="D205" s="22" t="s">
        <v>502</v>
      </c>
      <c r="E205" s="75">
        <f t="shared" si="45"/>
        <v>45893</v>
      </c>
      <c r="F205" s="75" t="s">
        <v>667</v>
      </c>
      <c r="G205" s="74">
        <f t="shared" si="46"/>
        <v>46258</v>
      </c>
      <c r="H205" s="19">
        <v>7.25</v>
      </c>
      <c r="I205" s="71" t="s">
        <v>19</v>
      </c>
      <c r="J205" s="2" t="s">
        <v>8</v>
      </c>
      <c r="K205" s="60" t="s">
        <v>741</v>
      </c>
      <c r="L205" s="2" t="s">
        <v>5</v>
      </c>
      <c r="M205" s="3">
        <v>1</v>
      </c>
      <c r="N205" s="3"/>
      <c r="O205" s="3">
        <v>0</v>
      </c>
      <c r="P205" s="69">
        <f t="shared" si="43"/>
        <v>1</v>
      </c>
      <c r="Q205" s="85"/>
      <c r="R205" s="67">
        <v>0</v>
      </c>
      <c r="S205" s="67"/>
      <c r="T205" s="40" t="s">
        <v>550</v>
      </c>
      <c r="U205" s="87" t="s">
        <v>933</v>
      </c>
      <c r="V205" s="137" t="s">
        <v>927</v>
      </c>
      <c r="W205" s="46" t="s">
        <v>884</v>
      </c>
      <c r="Z205" t="b">
        <f t="shared" si="47"/>
        <v>1</v>
      </c>
      <c r="AA205" s="46" t="s">
        <v>884</v>
      </c>
      <c r="AB205" s="67">
        <f t="shared" si="54"/>
        <v>0</v>
      </c>
      <c r="AC205" s="151">
        <f t="shared" si="48"/>
        <v>0</v>
      </c>
      <c r="AD205" s="152">
        <f ca="1">((Main!$C$4-E205)*(200000*(H205/100))/360)*0.025</f>
        <v>179.23611111111109</v>
      </c>
      <c r="AE205" s="152">
        <f t="shared" ca="1" si="49"/>
        <v>179.23611111111109</v>
      </c>
      <c r="AF205" s="153">
        <f t="shared" ca="1" si="50"/>
        <v>658.24461805555541</v>
      </c>
      <c r="AH205" s="67">
        <f t="shared" si="55"/>
        <v>0</v>
      </c>
      <c r="AI205" s="151">
        <f t="shared" si="51"/>
        <v>0</v>
      </c>
      <c r="AJ205">
        <f ca="1">((Main!$C$4-E205)*(200000*(H205/100))/360)*0.02577</f>
        <v>184.75658333333331</v>
      </c>
      <c r="AK205" s="152">
        <f t="shared" ca="1" si="52"/>
        <v>184.75658333333331</v>
      </c>
      <c r="AL205" s="153">
        <f t="shared" ca="1" si="53"/>
        <v>678.51855229166654</v>
      </c>
    </row>
    <row r="206" spans="1:38" ht="12.75" customHeight="1" x14ac:dyDescent="0.35">
      <c r="A206" s="46" t="s">
        <v>885</v>
      </c>
      <c r="B206" s="38" t="s">
        <v>503</v>
      </c>
      <c r="C206" s="46" t="s">
        <v>885</v>
      </c>
      <c r="D206" s="22" t="s">
        <v>504</v>
      </c>
      <c r="E206" s="75">
        <f t="shared" si="45"/>
        <v>46036</v>
      </c>
      <c r="F206" s="75" t="s">
        <v>605</v>
      </c>
      <c r="G206" s="74">
        <f t="shared" si="46"/>
        <v>46401</v>
      </c>
      <c r="H206" s="19">
        <v>8.5091000000000001</v>
      </c>
      <c r="I206" s="71" t="s">
        <v>19</v>
      </c>
      <c r="J206" s="2" t="s">
        <v>8</v>
      </c>
      <c r="K206" s="60" t="s">
        <v>741</v>
      </c>
      <c r="L206" s="2" t="s">
        <v>5</v>
      </c>
      <c r="M206" s="3">
        <v>1</v>
      </c>
      <c r="N206" s="3"/>
      <c r="O206" s="3">
        <v>0</v>
      </c>
      <c r="P206" s="69">
        <f t="shared" si="43"/>
        <v>1</v>
      </c>
      <c r="Q206" s="85"/>
      <c r="R206" s="67">
        <v>0</v>
      </c>
      <c r="S206" s="67"/>
      <c r="T206" s="40" t="s">
        <v>550</v>
      </c>
      <c r="U206" s="87" t="s">
        <v>933</v>
      </c>
      <c r="V206" s="137" t="s">
        <v>927</v>
      </c>
      <c r="W206" s="46" t="s">
        <v>885</v>
      </c>
      <c r="Z206" t="b">
        <f t="shared" si="47"/>
        <v>1</v>
      </c>
      <c r="AA206" s="46" t="s">
        <v>885</v>
      </c>
      <c r="AB206" s="67">
        <f t="shared" si="54"/>
        <v>0</v>
      </c>
      <c r="AC206" s="151">
        <f t="shared" si="48"/>
        <v>0</v>
      </c>
      <c r="AD206" s="152">
        <f ca="1">((Main!$C$4-E206)*(200000*(H206/100))/360)*0.025</f>
        <v>41.363680555555561</v>
      </c>
      <c r="AE206" s="152">
        <f t="shared" ca="1" si="49"/>
        <v>41.363680555555561</v>
      </c>
      <c r="AF206" s="153">
        <f t="shared" ca="1" si="50"/>
        <v>151.90811684027778</v>
      </c>
      <c r="AH206" s="67">
        <f t="shared" si="55"/>
        <v>0</v>
      </c>
      <c r="AI206" s="151">
        <f t="shared" si="51"/>
        <v>0</v>
      </c>
      <c r="AJ206">
        <f ca="1">((Main!$C$4-E206)*(200000*(H206/100))/360)*0.02577</f>
        <v>42.637681916666672</v>
      </c>
      <c r="AK206" s="152">
        <f t="shared" ca="1" si="52"/>
        <v>42.637681916666672</v>
      </c>
      <c r="AL206" s="153">
        <f t="shared" ca="1" si="53"/>
        <v>156.58688683895835</v>
      </c>
    </row>
    <row r="207" spans="1:38" ht="12.75" customHeight="1" x14ac:dyDescent="0.35">
      <c r="A207" s="46" t="s">
        <v>886</v>
      </c>
      <c r="B207" s="38" t="s">
        <v>475</v>
      </c>
      <c r="C207" s="46" t="s">
        <v>886</v>
      </c>
      <c r="D207" s="22" t="s">
        <v>476</v>
      </c>
      <c r="E207" s="75">
        <f t="shared" si="45"/>
        <v>46041</v>
      </c>
      <c r="F207" s="75" t="s">
        <v>598</v>
      </c>
      <c r="G207" s="74">
        <f t="shared" si="46"/>
        <v>46406</v>
      </c>
      <c r="H207" s="19">
        <v>2.3420000000000001</v>
      </c>
      <c r="I207" s="71" t="s">
        <v>19</v>
      </c>
      <c r="J207" s="2" t="s">
        <v>54</v>
      </c>
      <c r="K207" s="2" t="s">
        <v>759</v>
      </c>
      <c r="L207" s="1" t="s">
        <v>338</v>
      </c>
      <c r="M207" s="3">
        <v>0.55000000000000004</v>
      </c>
      <c r="N207" s="3"/>
      <c r="O207" s="3">
        <v>0.45</v>
      </c>
      <c r="P207" s="3">
        <f t="shared" si="43"/>
        <v>0.55000000000000004</v>
      </c>
      <c r="Q207" s="84"/>
      <c r="R207" s="67">
        <v>0.45</v>
      </c>
      <c r="S207" s="67"/>
      <c r="T207" s="40" t="s">
        <v>548</v>
      </c>
      <c r="U207" s="87" t="s">
        <v>946</v>
      </c>
      <c r="V207" s="137" t="s">
        <v>947</v>
      </c>
      <c r="W207" s="46" t="s">
        <v>886</v>
      </c>
      <c r="Z207" t="b">
        <f t="shared" si="47"/>
        <v>1</v>
      </c>
      <c r="AA207" s="46" t="s">
        <v>886</v>
      </c>
      <c r="AB207" s="67">
        <f t="shared" si="54"/>
        <v>1.1250000000000001E-2</v>
      </c>
      <c r="AC207" s="151">
        <f t="shared" si="48"/>
        <v>2250.0000000000005</v>
      </c>
      <c r="AD207" s="152">
        <f ca="1">((Main!$C$4-E207)*(200000*(H207/100))/360)*0.025</f>
        <v>9.7583333333333329</v>
      </c>
      <c r="AE207" s="152">
        <f t="shared" ca="1" si="49"/>
        <v>2259.7583333333337</v>
      </c>
      <c r="AF207" s="153">
        <f t="shared" ca="1" si="50"/>
        <v>8298.9624791666683</v>
      </c>
      <c r="AH207" s="67">
        <f t="shared" si="55"/>
        <v>1.1596500000000001E-2</v>
      </c>
      <c r="AI207" s="151">
        <f t="shared" si="51"/>
        <v>2319.3000000000002</v>
      </c>
      <c r="AJ207">
        <f ca="1">((Main!$C$4-E207)*(200000*(H207/100))/360)*0.02577</f>
        <v>10.05889</v>
      </c>
      <c r="AK207" s="152">
        <f t="shared" ca="1" si="52"/>
        <v>2329.35889</v>
      </c>
      <c r="AL207" s="153">
        <f t="shared" ca="1" si="53"/>
        <v>8554.5705235249989</v>
      </c>
    </row>
    <row r="208" spans="1:38" ht="12.75" customHeight="1" x14ac:dyDescent="0.35">
      <c r="A208" s="46" t="s">
        <v>887</v>
      </c>
      <c r="B208" s="38" t="s">
        <v>477</v>
      </c>
      <c r="C208" s="46" t="s">
        <v>887</v>
      </c>
      <c r="D208" s="22" t="s">
        <v>478</v>
      </c>
      <c r="E208" s="75">
        <f t="shared" si="45"/>
        <v>45896</v>
      </c>
      <c r="F208" s="75" t="s">
        <v>606</v>
      </c>
      <c r="G208" s="74">
        <f t="shared" si="46"/>
        <v>46261</v>
      </c>
      <c r="H208" s="19">
        <v>5.1289999999999996</v>
      </c>
      <c r="I208" s="71" t="s">
        <v>19</v>
      </c>
      <c r="J208" s="2" t="s">
        <v>54</v>
      </c>
      <c r="K208" s="2" t="s">
        <v>759</v>
      </c>
      <c r="L208" s="1" t="s">
        <v>338</v>
      </c>
      <c r="M208" s="3">
        <v>0.55000000000000004</v>
      </c>
      <c r="N208" s="3"/>
      <c r="O208" s="3">
        <v>0.45</v>
      </c>
      <c r="P208" s="3">
        <f t="shared" si="43"/>
        <v>0.55000000000000004</v>
      </c>
      <c r="Q208" s="84"/>
      <c r="R208" s="67">
        <v>0.45</v>
      </c>
      <c r="S208" s="67"/>
      <c r="T208" s="40" t="s">
        <v>548</v>
      </c>
      <c r="U208" s="87" t="s">
        <v>946</v>
      </c>
      <c r="V208" s="137" t="s">
        <v>947</v>
      </c>
      <c r="W208" s="46" t="s">
        <v>887</v>
      </c>
      <c r="Z208" t="b">
        <f t="shared" si="47"/>
        <v>1</v>
      </c>
      <c r="AA208" s="46" t="s">
        <v>887</v>
      </c>
      <c r="AB208" s="67">
        <f t="shared" si="54"/>
        <v>1.1250000000000001E-2</v>
      </c>
      <c r="AC208" s="151">
        <f t="shared" si="48"/>
        <v>2250.0000000000005</v>
      </c>
      <c r="AD208" s="152">
        <f ca="1">((Main!$C$4-E208)*(200000*(H208/100))/360)*0.025</f>
        <v>124.66319444444444</v>
      </c>
      <c r="AE208" s="152">
        <f t="shared" ca="1" si="49"/>
        <v>2374.6631944444448</v>
      </c>
      <c r="AF208" s="153">
        <f t="shared" ca="1" si="50"/>
        <v>8720.9505815972225</v>
      </c>
      <c r="AH208" s="67">
        <f t="shared" si="55"/>
        <v>1.1596500000000001E-2</v>
      </c>
      <c r="AI208" s="151">
        <f t="shared" si="51"/>
        <v>2319.3000000000002</v>
      </c>
      <c r="AJ208">
        <f ca="1">((Main!$C$4-E208)*(200000*(H208/100))/360)*0.02577</f>
        <v>128.50282083333332</v>
      </c>
      <c r="AK208" s="152">
        <f t="shared" ca="1" si="52"/>
        <v>2447.8028208333335</v>
      </c>
      <c r="AL208" s="153">
        <f t="shared" ca="1" si="53"/>
        <v>8989.5558595104176</v>
      </c>
    </row>
    <row r="209" spans="1:38" ht="12.75" customHeight="1" x14ac:dyDescent="0.35">
      <c r="A209" s="46" t="s">
        <v>406</v>
      </c>
      <c r="B209" s="38" t="s">
        <v>407</v>
      </c>
      <c r="C209" s="46" t="s">
        <v>406</v>
      </c>
      <c r="D209" s="22" t="s">
        <v>408</v>
      </c>
      <c r="E209" s="75">
        <f t="shared" si="45"/>
        <v>45971</v>
      </c>
      <c r="F209" s="75" t="s">
        <v>669</v>
      </c>
      <c r="G209" s="74">
        <f t="shared" si="46"/>
        <v>46336</v>
      </c>
      <c r="H209" s="19">
        <v>4.25</v>
      </c>
      <c r="I209" s="71" t="s">
        <v>19</v>
      </c>
      <c r="J209" s="2" t="s">
        <v>4</v>
      </c>
      <c r="K209" s="2" t="s">
        <v>749</v>
      </c>
      <c r="L209" s="27" t="s">
        <v>5</v>
      </c>
      <c r="M209" s="3">
        <v>0.55000000000000004</v>
      </c>
      <c r="N209" s="3"/>
      <c r="O209" s="3">
        <v>0.45</v>
      </c>
      <c r="P209" s="69">
        <f t="shared" si="43"/>
        <v>0.55000000000000004</v>
      </c>
      <c r="Q209" s="85">
        <f t="shared" ref="Q209:Q216" si="56">1-P209</f>
        <v>0.44999999999999996</v>
      </c>
      <c r="R209" s="67">
        <v>0.45</v>
      </c>
      <c r="S209" s="67"/>
      <c r="T209" s="40" t="s">
        <v>548</v>
      </c>
      <c r="U209" s="87" t="s">
        <v>928</v>
      </c>
      <c r="V209" s="137" t="s">
        <v>929</v>
      </c>
      <c r="W209" s="46" t="s">
        <v>406</v>
      </c>
      <c r="Z209" t="b">
        <f t="shared" si="47"/>
        <v>1</v>
      </c>
      <c r="AA209" s="46" t="s">
        <v>406</v>
      </c>
      <c r="AB209" s="67">
        <f t="shared" si="54"/>
        <v>1.1250000000000001E-2</v>
      </c>
      <c r="AC209" s="151">
        <f t="shared" si="48"/>
        <v>2250.0000000000005</v>
      </c>
      <c r="AD209" s="152">
        <f ca="1">((Main!$C$4-E209)*(200000*(H209/100))/360)*0.025</f>
        <v>59.027777777777786</v>
      </c>
      <c r="AE209" s="152">
        <f t="shared" ca="1" si="49"/>
        <v>2309.0277777777783</v>
      </c>
      <c r="AF209" s="153">
        <f t="shared" ca="1" si="50"/>
        <v>8479.9045138888905</v>
      </c>
      <c r="AH209" s="67">
        <f t="shared" si="55"/>
        <v>1.1596500000000001E-2</v>
      </c>
      <c r="AI209" s="151">
        <f t="shared" si="51"/>
        <v>2319.3000000000002</v>
      </c>
      <c r="AJ209">
        <f ca="1">((Main!$C$4-E209)*(200000*(H209/100))/360)*0.02577</f>
        <v>60.845833333333339</v>
      </c>
      <c r="AK209" s="152">
        <f t="shared" ca="1" si="52"/>
        <v>2380.1458333333335</v>
      </c>
      <c r="AL209" s="153">
        <f t="shared" ca="1" si="53"/>
        <v>8741.0855729166669</v>
      </c>
    </row>
    <row r="210" spans="1:38" ht="12.75" customHeight="1" x14ac:dyDescent="0.35">
      <c r="A210" s="46" t="s">
        <v>888</v>
      </c>
      <c r="B210" s="38" t="s">
        <v>511</v>
      </c>
      <c r="C210" s="46" t="s">
        <v>888</v>
      </c>
      <c r="D210" s="22" t="s">
        <v>512</v>
      </c>
      <c r="E210" s="75">
        <f t="shared" si="45"/>
        <v>45960</v>
      </c>
      <c r="F210" s="75" t="s">
        <v>562</v>
      </c>
      <c r="G210" s="74">
        <f t="shared" si="46"/>
        <v>46325</v>
      </c>
      <c r="H210" s="19">
        <v>3.49</v>
      </c>
      <c r="I210" s="71" t="s">
        <v>19</v>
      </c>
      <c r="J210" s="2" t="s">
        <v>4</v>
      </c>
      <c r="K210" s="2" t="s">
        <v>749</v>
      </c>
      <c r="L210" s="2" t="s">
        <v>513</v>
      </c>
      <c r="M210" s="3">
        <v>0.51</v>
      </c>
      <c r="N210" s="3"/>
      <c r="O210" s="3">
        <v>0.49</v>
      </c>
      <c r="P210" s="69">
        <f t="shared" si="43"/>
        <v>0.51</v>
      </c>
      <c r="Q210" s="85">
        <f t="shared" si="56"/>
        <v>0.49</v>
      </c>
      <c r="R210" s="67">
        <v>0.45</v>
      </c>
      <c r="S210" s="67"/>
      <c r="T210" s="40" t="s">
        <v>548</v>
      </c>
      <c r="U210" s="87" t="s">
        <v>928</v>
      </c>
      <c r="V210" s="137" t="s">
        <v>929</v>
      </c>
      <c r="W210" s="46" t="s">
        <v>888</v>
      </c>
      <c r="Z210" t="b">
        <f t="shared" si="47"/>
        <v>1</v>
      </c>
      <c r="AA210" s="46" t="s">
        <v>888</v>
      </c>
      <c r="AB210" s="67">
        <f t="shared" si="54"/>
        <v>1.1250000000000001E-2</v>
      </c>
      <c r="AC210" s="151">
        <f t="shared" si="48"/>
        <v>2250.0000000000005</v>
      </c>
      <c r="AD210" s="152">
        <f ca="1">((Main!$C$4-E210)*(200000*(H210/100))/360)*0.025</f>
        <v>53.804166666666667</v>
      </c>
      <c r="AE210" s="152">
        <f t="shared" ca="1" si="49"/>
        <v>2303.8041666666672</v>
      </c>
      <c r="AF210" s="153">
        <f t="shared" ca="1" si="50"/>
        <v>8460.720802083335</v>
      </c>
      <c r="AH210" s="67">
        <f t="shared" si="55"/>
        <v>1.1596500000000001E-2</v>
      </c>
      <c r="AI210" s="151">
        <f t="shared" si="51"/>
        <v>2319.3000000000002</v>
      </c>
      <c r="AJ210">
        <f ca="1">((Main!$C$4-E210)*(200000*(H210/100))/360)*0.02577</f>
        <v>55.461334999999998</v>
      </c>
      <c r="AK210" s="152">
        <f t="shared" ca="1" si="52"/>
        <v>2374.7613350000001</v>
      </c>
      <c r="AL210" s="153">
        <f t="shared" ca="1" si="53"/>
        <v>8721.3110027875009</v>
      </c>
    </row>
    <row r="211" spans="1:38" ht="12.75" customHeight="1" x14ac:dyDescent="0.35">
      <c r="A211" s="46" t="s">
        <v>889</v>
      </c>
      <c r="B211" s="38" t="s">
        <v>514</v>
      </c>
      <c r="C211" s="46" t="s">
        <v>889</v>
      </c>
      <c r="D211" s="22" t="s">
        <v>515</v>
      </c>
      <c r="E211" s="75">
        <f t="shared" si="45"/>
        <v>45926</v>
      </c>
      <c r="F211" s="75" t="s">
        <v>596</v>
      </c>
      <c r="G211" s="74">
        <f t="shared" si="46"/>
        <v>46291</v>
      </c>
      <c r="H211" s="19">
        <v>3.65</v>
      </c>
      <c r="I211" s="71" t="s">
        <v>19</v>
      </c>
      <c r="J211" s="2" t="s">
        <v>4</v>
      </c>
      <c r="K211" s="2" t="s">
        <v>749</v>
      </c>
      <c r="L211" s="2" t="s">
        <v>513</v>
      </c>
      <c r="M211" s="3">
        <v>0.51</v>
      </c>
      <c r="N211" s="3"/>
      <c r="O211" s="3">
        <v>0.49</v>
      </c>
      <c r="P211" s="69">
        <f t="shared" si="43"/>
        <v>0.51</v>
      </c>
      <c r="Q211" s="85">
        <f t="shared" si="56"/>
        <v>0.49</v>
      </c>
      <c r="R211" s="67">
        <v>0.45</v>
      </c>
      <c r="S211" s="67"/>
      <c r="T211" s="40" t="s">
        <v>548</v>
      </c>
      <c r="U211" s="87" t="s">
        <v>928</v>
      </c>
      <c r="V211" s="137" t="s">
        <v>929</v>
      </c>
      <c r="W211" s="46" t="s">
        <v>889</v>
      </c>
      <c r="Z211" t="b">
        <f t="shared" si="47"/>
        <v>1</v>
      </c>
      <c r="AA211" s="46" t="s">
        <v>889</v>
      </c>
      <c r="AB211" s="67">
        <f t="shared" si="54"/>
        <v>1.1250000000000001E-2</v>
      </c>
      <c r="AC211" s="151">
        <f t="shared" si="48"/>
        <v>2250.0000000000005</v>
      </c>
      <c r="AD211" s="152">
        <f ca="1">((Main!$C$4-E211)*(200000*(H211/100))/360)*0.025</f>
        <v>73.506944444444429</v>
      </c>
      <c r="AE211" s="152">
        <f t="shared" ca="1" si="49"/>
        <v>2323.5069444444448</v>
      </c>
      <c r="AF211" s="153">
        <f t="shared" ca="1" si="50"/>
        <v>8533.0792534722241</v>
      </c>
      <c r="AH211" s="67">
        <f t="shared" si="55"/>
        <v>1.1596500000000001E-2</v>
      </c>
      <c r="AI211" s="151">
        <f t="shared" si="51"/>
        <v>2319.3000000000002</v>
      </c>
      <c r="AJ211">
        <f ca="1">((Main!$C$4-E211)*(200000*(H211/100))/360)*0.02577</f>
        <v>75.770958333333311</v>
      </c>
      <c r="AK211" s="152">
        <f t="shared" ca="1" si="52"/>
        <v>2395.0709583333337</v>
      </c>
      <c r="AL211" s="153">
        <f t="shared" ca="1" si="53"/>
        <v>8795.8980944791674</v>
      </c>
    </row>
    <row r="212" spans="1:38" ht="12.75" customHeight="1" x14ac:dyDescent="0.35">
      <c r="A212" s="46" t="s">
        <v>890</v>
      </c>
      <c r="B212" s="38" t="s">
        <v>516</v>
      </c>
      <c r="C212" s="46" t="s">
        <v>890</v>
      </c>
      <c r="D212" s="22" t="s">
        <v>517</v>
      </c>
      <c r="E212" s="75">
        <f t="shared" si="45"/>
        <v>45972</v>
      </c>
      <c r="F212" s="75" t="s">
        <v>670</v>
      </c>
      <c r="G212" s="74">
        <f t="shared" si="46"/>
        <v>46337</v>
      </c>
      <c r="H212" s="19">
        <v>3.7</v>
      </c>
      <c r="I212" s="71" t="s">
        <v>19</v>
      </c>
      <c r="J212" s="2" t="s">
        <v>4</v>
      </c>
      <c r="K212" s="2" t="s">
        <v>749</v>
      </c>
      <c r="L212" s="2" t="s">
        <v>513</v>
      </c>
      <c r="M212" s="3">
        <v>0.51</v>
      </c>
      <c r="N212" s="3"/>
      <c r="O212" s="3">
        <v>0.49</v>
      </c>
      <c r="P212" s="69">
        <f t="shared" si="43"/>
        <v>0.51</v>
      </c>
      <c r="Q212" s="85">
        <f t="shared" si="56"/>
        <v>0.49</v>
      </c>
      <c r="R212" s="67">
        <v>0.45</v>
      </c>
      <c r="S212" s="67"/>
      <c r="T212" s="40" t="s">
        <v>548</v>
      </c>
      <c r="U212" s="87" t="s">
        <v>928</v>
      </c>
      <c r="V212" s="137" t="s">
        <v>929</v>
      </c>
      <c r="W212" s="46" t="s">
        <v>890</v>
      </c>
      <c r="Z212" t="b">
        <f t="shared" si="47"/>
        <v>1</v>
      </c>
      <c r="AA212" s="46" t="s">
        <v>890</v>
      </c>
      <c r="AB212" s="67">
        <f t="shared" si="54"/>
        <v>1.1250000000000001E-2</v>
      </c>
      <c r="AC212" s="151">
        <f t="shared" si="48"/>
        <v>2250.0000000000005</v>
      </c>
      <c r="AD212" s="152">
        <f ca="1">((Main!$C$4-E212)*(200000*(H212/100))/360)*0.025</f>
        <v>50.875000000000007</v>
      </c>
      <c r="AE212" s="152">
        <f t="shared" ca="1" si="49"/>
        <v>2300.8750000000005</v>
      </c>
      <c r="AF212" s="153">
        <f t="shared" ca="1" si="50"/>
        <v>8449.9634375000005</v>
      </c>
      <c r="AH212" s="67">
        <f t="shared" si="55"/>
        <v>1.1596500000000001E-2</v>
      </c>
      <c r="AI212" s="151">
        <f t="shared" si="51"/>
        <v>2319.3000000000002</v>
      </c>
      <c r="AJ212">
        <f ca="1">((Main!$C$4-E212)*(200000*(H212/100))/360)*0.02577</f>
        <v>52.441950000000006</v>
      </c>
      <c r="AK212" s="152">
        <f t="shared" ca="1" si="52"/>
        <v>2371.7419500000001</v>
      </c>
      <c r="AL212" s="153">
        <f t="shared" ca="1" si="53"/>
        <v>8710.2223113750006</v>
      </c>
    </row>
    <row r="213" spans="1:38" ht="12.75" customHeight="1" x14ac:dyDescent="0.35">
      <c r="A213" s="46" t="s">
        <v>891</v>
      </c>
      <c r="B213" s="38" t="s">
        <v>518</v>
      </c>
      <c r="C213" s="46" t="s">
        <v>891</v>
      </c>
      <c r="D213" s="22" t="s">
        <v>519</v>
      </c>
      <c r="E213" s="75">
        <f t="shared" si="45"/>
        <v>45983</v>
      </c>
      <c r="F213" s="75" t="s">
        <v>580</v>
      </c>
      <c r="G213" s="74">
        <f t="shared" si="46"/>
        <v>46348</v>
      </c>
      <c r="H213" s="19">
        <v>4.0599999999999996</v>
      </c>
      <c r="I213" s="71" t="s">
        <v>19</v>
      </c>
      <c r="J213" s="2" t="s">
        <v>4</v>
      </c>
      <c r="K213" s="2" t="s">
        <v>749</v>
      </c>
      <c r="L213" s="2" t="s">
        <v>513</v>
      </c>
      <c r="M213" s="3">
        <v>0.51</v>
      </c>
      <c r="N213" s="3"/>
      <c r="O213" s="3">
        <v>0.49</v>
      </c>
      <c r="P213" s="69">
        <f t="shared" si="43"/>
        <v>0.51</v>
      </c>
      <c r="Q213" s="85">
        <f t="shared" si="56"/>
        <v>0.49</v>
      </c>
      <c r="R213" s="67">
        <v>0.45</v>
      </c>
      <c r="S213" s="67"/>
      <c r="T213" s="40" t="s">
        <v>548</v>
      </c>
      <c r="U213" s="87" t="s">
        <v>928</v>
      </c>
      <c r="V213" s="137" t="s">
        <v>929</v>
      </c>
      <c r="W213" s="46" t="s">
        <v>891</v>
      </c>
      <c r="Z213" t="b">
        <f t="shared" si="47"/>
        <v>1</v>
      </c>
      <c r="AA213" s="46" t="s">
        <v>891</v>
      </c>
      <c r="AB213" s="67">
        <f t="shared" si="54"/>
        <v>1.1250000000000001E-2</v>
      </c>
      <c r="AC213" s="151">
        <f t="shared" si="48"/>
        <v>2250.0000000000005</v>
      </c>
      <c r="AD213" s="152">
        <f ca="1">((Main!$C$4-E213)*(200000*(H213/100))/360)*0.025</f>
        <v>49.622222222222213</v>
      </c>
      <c r="AE213" s="152">
        <f t="shared" ca="1" si="49"/>
        <v>2299.6222222222227</v>
      </c>
      <c r="AF213" s="153">
        <f t="shared" ca="1" si="50"/>
        <v>8445.3626111111134</v>
      </c>
      <c r="AH213" s="67">
        <f t="shared" si="55"/>
        <v>1.1596500000000001E-2</v>
      </c>
      <c r="AI213" s="151">
        <f t="shared" si="51"/>
        <v>2319.3000000000002</v>
      </c>
      <c r="AJ213">
        <f ca="1">((Main!$C$4-E213)*(200000*(H213/100))/360)*0.02577</f>
        <v>51.150586666666655</v>
      </c>
      <c r="AK213" s="152">
        <f t="shared" ca="1" si="52"/>
        <v>2370.4505866666668</v>
      </c>
      <c r="AL213" s="153">
        <f t="shared" ca="1" si="53"/>
        <v>8705.4797795333343</v>
      </c>
    </row>
    <row r="214" spans="1:38" ht="12.75" customHeight="1" x14ac:dyDescent="0.35">
      <c r="A214" s="46" t="s">
        <v>892</v>
      </c>
      <c r="B214" s="38" t="s">
        <v>520</v>
      </c>
      <c r="C214" s="46" t="s">
        <v>892</v>
      </c>
      <c r="D214" s="22" t="s">
        <v>521</v>
      </c>
      <c r="E214" s="75">
        <f t="shared" si="45"/>
        <v>46033</v>
      </c>
      <c r="F214" s="75" t="s">
        <v>671</v>
      </c>
      <c r="G214" s="74">
        <f t="shared" si="46"/>
        <v>46398</v>
      </c>
      <c r="H214" s="19">
        <v>4.12</v>
      </c>
      <c r="I214" s="71" t="s">
        <v>19</v>
      </c>
      <c r="J214" s="2" t="s">
        <v>4</v>
      </c>
      <c r="K214" s="2" t="s">
        <v>749</v>
      </c>
      <c r="L214" s="2" t="s">
        <v>513</v>
      </c>
      <c r="M214" s="3">
        <v>0.51</v>
      </c>
      <c r="N214" s="3"/>
      <c r="O214" s="3">
        <v>0.49</v>
      </c>
      <c r="P214" s="69">
        <f t="shared" si="43"/>
        <v>0.51</v>
      </c>
      <c r="Q214" s="85">
        <f t="shared" si="56"/>
        <v>0.49</v>
      </c>
      <c r="R214" s="67">
        <v>0.45</v>
      </c>
      <c r="S214" s="67"/>
      <c r="T214" s="40" t="s">
        <v>548</v>
      </c>
      <c r="U214" s="87" t="s">
        <v>928</v>
      </c>
      <c r="V214" s="137" t="s">
        <v>929</v>
      </c>
      <c r="W214" s="46" t="s">
        <v>892</v>
      </c>
      <c r="Z214" t="b">
        <f t="shared" si="47"/>
        <v>1</v>
      </c>
      <c r="AA214" s="46" t="s">
        <v>892</v>
      </c>
      <c r="AB214" s="67">
        <f t="shared" si="54"/>
        <v>1.1250000000000001E-2</v>
      </c>
      <c r="AC214" s="151">
        <f t="shared" si="48"/>
        <v>2250.0000000000005</v>
      </c>
      <c r="AD214" s="152">
        <f ca="1">((Main!$C$4-E214)*(200000*(H214/100))/360)*0.025</f>
        <v>21.744444444444447</v>
      </c>
      <c r="AE214" s="152">
        <f t="shared" ca="1" si="49"/>
        <v>2271.744444444445</v>
      </c>
      <c r="AF214" s="153">
        <f t="shared" ca="1" si="50"/>
        <v>8342.9814722222236</v>
      </c>
      <c r="AH214" s="67">
        <f t="shared" si="55"/>
        <v>1.1596500000000001E-2</v>
      </c>
      <c r="AI214" s="151">
        <f t="shared" si="51"/>
        <v>2319.3000000000002</v>
      </c>
      <c r="AJ214">
        <f ca="1">((Main!$C$4-E214)*(200000*(H214/100))/360)*0.02577</f>
        <v>22.414173333333334</v>
      </c>
      <c r="AK214" s="152">
        <f t="shared" ca="1" si="52"/>
        <v>2341.7141733333333</v>
      </c>
      <c r="AL214" s="153">
        <f t="shared" ca="1" si="53"/>
        <v>8599.9453015666659</v>
      </c>
    </row>
    <row r="215" spans="1:38" ht="12.75" customHeight="1" x14ac:dyDescent="0.35">
      <c r="A215" s="46" t="s">
        <v>893</v>
      </c>
      <c r="B215" s="38" t="s">
        <v>522</v>
      </c>
      <c r="C215" s="46" t="s">
        <v>893</v>
      </c>
      <c r="D215" s="22" t="s">
        <v>523</v>
      </c>
      <c r="E215" s="75">
        <f t="shared" si="45"/>
        <v>45893</v>
      </c>
      <c r="F215" s="75" t="s">
        <v>667</v>
      </c>
      <c r="G215" s="74">
        <f t="shared" si="46"/>
        <v>46258</v>
      </c>
      <c r="H215" s="19">
        <v>4.4800000000000004</v>
      </c>
      <c r="I215" s="71" t="s">
        <v>19</v>
      </c>
      <c r="J215" s="2" t="s">
        <v>4</v>
      </c>
      <c r="K215" s="2" t="s">
        <v>749</v>
      </c>
      <c r="L215" s="2" t="s">
        <v>513</v>
      </c>
      <c r="M215" s="3">
        <v>0.51</v>
      </c>
      <c r="N215" s="3"/>
      <c r="O215" s="3">
        <v>0.49</v>
      </c>
      <c r="P215" s="69">
        <f t="shared" si="43"/>
        <v>0.51</v>
      </c>
      <c r="Q215" s="85">
        <f t="shared" si="56"/>
        <v>0.49</v>
      </c>
      <c r="R215" s="67">
        <v>0.45</v>
      </c>
      <c r="S215" s="67"/>
      <c r="T215" s="40" t="s">
        <v>548</v>
      </c>
      <c r="U215" s="87" t="s">
        <v>928</v>
      </c>
      <c r="V215" s="137" t="s">
        <v>929</v>
      </c>
      <c r="W215" s="46" t="s">
        <v>893</v>
      </c>
      <c r="Z215" t="b">
        <f t="shared" si="47"/>
        <v>1</v>
      </c>
      <c r="AA215" s="46" t="s">
        <v>893</v>
      </c>
      <c r="AB215" s="67">
        <f t="shared" si="54"/>
        <v>1.1250000000000001E-2</v>
      </c>
      <c r="AC215" s="151">
        <f t="shared" si="48"/>
        <v>2250.0000000000005</v>
      </c>
      <c r="AD215" s="152">
        <f ca="1">((Main!$C$4-E215)*(200000*(H215/100))/360)*0.025</f>
        <v>110.75555555555557</v>
      </c>
      <c r="AE215" s="152">
        <f t="shared" ca="1" si="49"/>
        <v>2360.7555555555559</v>
      </c>
      <c r="AF215" s="153">
        <f t="shared" ca="1" si="50"/>
        <v>8669.8747777777789</v>
      </c>
      <c r="AH215" s="67">
        <f t="shared" si="55"/>
        <v>1.1596500000000001E-2</v>
      </c>
      <c r="AI215" s="151">
        <f t="shared" si="51"/>
        <v>2319.3000000000002</v>
      </c>
      <c r="AJ215">
        <f ca="1">((Main!$C$4-E215)*(200000*(H215/100))/360)*0.02577</f>
        <v>114.16682666666668</v>
      </c>
      <c r="AK215" s="152">
        <f t="shared" ca="1" si="52"/>
        <v>2433.4668266666667</v>
      </c>
      <c r="AL215" s="153">
        <f t="shared" ca="1" si="53"/>
        <v>8936.9069209333338</v>
      </c>
    </row>
    <row r="216" spans="1:38" ht="12.75" customHeight="1" x14ac:dyDescent="0.35">
      <c r="A216" s="46" t="s">
        <v>894</v>
      </c>
      <c r="B216" s="38" t="s">
        <v>524</v>
      </c>
      <c r="C216" s="46" t="s">
        <v>894</v>
      </c>
      <c r="D216" s="22" t="s">
        <v>525</v>
      </c>
      <c r="E216" s="75">
        <f t="shared" si="45"/>
        <v>45984</v>
      </c>
      <c r="F216" s="75" t="s">
        <v>672</v>
      </c>
      <c r="G216" s="74">
        <f t="shared" si="46"/>
        <v>46349</v>
      </c>
      <c r="H216" s="19">
        <v>4.57</v>
      </c>
      <c r="I216" s="71" t="s">
        <v>19</v>
      </c>
      <c r="J216" s="2" t="s">
        <v>4</v>
      </c>
      <c r="K216" s="2" t="s">
        <v>749</v>
      </c>
      <c r="L216" s="2" t="s">
        <v>513</v>
      </c>
      <c r="M216" s="3">
        <v>0.51</v>
      </c>
      <c r="N216" s="3"/>
      <c r="O216" s="3">
        <v>0.49</v>
      </c>
      <c r="P216" s="69">
        <f t="shared" si="43"/>
        <v>0.51</v>
      </c>
      <c r="Q216" s="85">
        <f t="shared" si="56"/>
        <v>0.49</v>
      </c>
      <c r="R216" s="67">
        <v>0.45</v>
      </c>
      <c r="S216" s="67"/>
      <c r="T216" s="40" t="s">
        <v>548</v>
      </c>
      <c r="U216" s="87" t="s">
        <v>928</v>
      </c>
      <c r="V216" s="137" t="s">
        <v>929</v>
      </c>
      <c r="W216" s="46" t="s">
        <v>894</v>
      </c>
      <c r="Z216" t="b">
        <f t="shared" si="47"/>
        <v>1</v>
      </c>
      <c r="AA216" s="46" t="s">
        <v>894</v>
      </c>
      <c r="AB216" s="67">
        <f t="shared" si="54"/>
        <v>1.1250000000000001E-2</v>
      </c>
      <c r="AC216" s="151">
        <f t="shared" si="48"/>
        <v>2250.0000000000005</v>
      </c>
      <c r="AD216" s="152">
        <f ca="1">((Main!$C$4-E216)*(200000*(H216/100))/360)*0.025</f>
        <v>55.220833333333339</v>
      </c>
      <c r="AE216" s="152">
        <f t="shared" ca="1" si="49"/>
        <v>2305.2208333333338</v>
      </c>
      <c r="AF216" s="153">
        <f t="shared" ca="1" si="50"/>
        <v>8465.9235104166673</v>
      </c>
      <c r="AH216" s="67">
        <f t="shared" si="55"/>
        <v>1.1596500000000001E-2</v>
      </c>
      <c r="AI216" s="151">
        <f t="shared" si="51"/>
        <v>2319.3000000000002</v>
      </c>
      <c r="AJ216">
        <f ca="1">((Main!$C$4-E216)*(200000*(H216/100))/360)*0.02577</f>
        <v>56.921635000000009</v>
      </c>
      <c r="AK216" s="152">
        <f t="shared" ca="1" si="52"/>
        <v>2376.2216350000003</v>
      </c>
      <c r="AL216" s="153">
        <f t="shared" ca="1" si="53"/>
        <v>8726.6739545375003</v>
      </c>
    </row>
    <row r="217" spans="1:38" ht="12.75" customHeight="1" x14ac:dyDescent="0.35">
      <c r="A217" s="46" t="s">
        <v>505</v>
      </c>
      <c r="B217" s="38" t="s">
        <v>506</v>
      </c>
      <c r="C217" s="46" t="s">
        <v>505</v>
      </c>
      <c r="D217" s="22" t="s">
        <v>507</v>
      </c>
      <c r="E217" s="75">
        <f t="shared" si="45"/>
        <v>45960</v>
      </c>
      <c r="F217" s="75" t="s">
        <v>562</v>
      </c>
      <c r="G217" s="74">
        <f t="shared" si="46"/>
        <v>46325</v>
      </c>
      <c r="H217" s="19">
        <v>6.5</v>
      </c>
      <c r="I217" s="71" t="s">
        <v>19</v>
      </c>
      <c r="J217" s="2" t="s">
        <v>6</v>
      </c>
      <c r="K217" s="2" t="s">
        <v>734</v>
      </c>
      <c r="L217" s="64" t="s">
        <v>508</v>
      </c>
      <c r="M217" s="3">
        <v>1</v>
      </c>
      <c r="N217" s="3"/>
      <c r="O217" s="3">
        <v>0</v>
      </c>
      <c r="P217" s="69">
        <v>0</v>
      </c>
      <c r="Q217" s="85"/>
      <c r="R217" s="67">
        <v>1</v>
      </c>
      <c r="S217" s="67"/>
      <c r="T217" s="40"/>
      <c r="U217" s="87" t="s">
        <v>939</v>
      </c>
      <c r="V217" s="137" t="s">
        <v>940</v>
      </c>
      <c r="W217" s="46" t="s">
        <v>505</v>
      </c>
      <c r="Z217" t="b">
        <f t="shared" si="47"/>
        <v>1</v>
      </c>
      <c r="AA217" s="46" t="s">
        <v>505</v>
      </c>
      <c r="AB217" s="67">
        <f t="shared" si="54"/>
        <v>2.5000000000000001E-2</v>
      </c>
      <c r="AC217" s="151">
        <f t="shared" si="48"/>
        <v>5000</v>
      </c>
      <c r="AD217" s="152">
        <f ca="1">((Main!$C$4-E217)*(200000*(H217/100))/360)*0.025</f>
        <v>100.20833333333334</v>
      </c>
      <c r="AE217" s="152">
        <f t="shared" ca="1" si="49"/>
        <v>5100.208333333333</v>
      </c>
      <c r="AF217" s="153">
        <f t="shared" ca="1" si="50"/>
        <v>18730.515104166665</v>
      </c>
      <c r="AH217" s="67">
        <f t="shared" si="55"/>
        <v>2.5770000000000001E-2</v>
      </c>
      <c r="AI217" s="151">
        <f t="shared" si="51"/>
        <v>5154</v>
      </c>
      <c r="AJ217">
        <f ca="1">((Main!$C$4-E217)*(200000*(H217/100))/360)*0.02577</f>
        <v>103.29475000000001</v>
      </c>
      <c r="AK217" s="152">
        <f t="shared" ca="1" si="52"/>
        <v>5257.29475</v>
      </c>
      <c r="AL217" s="153">
        <f t="shared" ca="1" si="53"/>
        <v>19307.414969375001</v>
      </c>
    </row>
    <row r="218" spans="1:38" ht="12.75" customHeight="1" x14ac:dyDescent="0.35">
      <c r="A218" s="46" t="s">
        <v>14</v>
      </c>
      <c r="B218" s="38" t="s">
        <v>509</v>
      </c>
      <c r="C218" s="46" t="s">
        <v>14</v>
      </c>
      <c r="D218" s="22" t="s">
        <v>510</v>
      </c>
      <c r="E218" s="75">
        <f t="shared" si="45"/>
        <v>46045</v>
      </c>
      <c r="F218" s="75" t="s">
        <v>635</v>
      </c>
      <c r="G218" s="74">
        <f t="shared" si="46"/>
        <v>46410</v>
      </c>
      <c r="H218" s="19">
        <v>6.95</v>
      </c>
      <c r="I218" s="71" t="s">
        <v>19</v>
      </c>
      <c r="J218" s="2" t="s">
        <v>4</v>
      </c>
      <c r="K218" s="2" t="s">
        <v>749</v>
      </c>
      <c r="L218" s="2" t="s">
        <v>5</v>
      </c>
      <c r="M218" s="3">
        <v>0.55000000000000004</v>
      </c>
      <c r="N218" s="3"/>
      <c r="O218" s="3">
        <v>0.45</v>
      </c>
      <c r="P218" s="39">
        <f>M218</f>
        <v>0.55000000000000004</v>
      </c>
      <c r="Q218" s="85">
        <f>1-P218</f>
        <v>0.44999999999999996</v>
      </c>
      <c r="R218" s="67">
        <v>0.45</v>
      </c>
      <c r="S218" s="67"/>
      <c r="T218" s="40" t="s">
        <v>548</v>
      </c>
      <c r="U218" s="87" t="s">
        <v>928</v>
      </c>
      <c r="V218" s="137" t="s">
        <v>929</v>
      </c>
      <c r="W218" s="46" t="s">
        <v>14</v>
      </c>
      <c r="Z218" t="b">
        <f t="shared" si="47"/>
        <v>1</v>
      </c>
      <c r="AA218" s="46" t="s">
        <v>14</v>
      </c>
      <c r="AB218" s="67">
        <f t="shared" si="54"/>
        <v>1.1250000000000001E-2</v>
      </c>
      <c r="AC218" s="151">
        <f t="shared" si="48"/>
        <v>2250.0000000000005</v>
      </c>
      <c r="AD218" s="152">
        <f ca="1">((Main!$C$4-E218)*(200000*(H218/100))/360)*0.025</f>
        <v>25.097222222222229</v>
      </c>
      <c r="AE218" s="152">
        <f t="shared" ca="1" si="49"/>
        <v>2275.0972222222226</v>
      </c>
      <c r="AF218" s="153">
        <f t="shared" ca="1" si="50"/>
        <v>8355.294548611113</v>
      </c>
      <c r="AH218" s="67">
        <f t="shared" si="55"/>
        <v>1.1596500000000001E-2</v>
      </c>
      <c r="AI218" s="151">
        <f t="shared" si="51"/>
        <v>2319.3000000000002</v>
      </c>
      <c r="AJ218">
        <f ca="1">((Main!$C$4-E218)*(200000*(H218/100))/360)*0.02577</f>
        <v>25.870216666666671</v>
      </c>
      <c r="AK218" s="152">
        <f t="shared" ca="1" si="52"/>
        <v>2345.1702166666669</v>
      </c>
      <c r="AL218" s="153">
        <f t="shared" ca="1" si="53"/>
        <v>8612.637620708334</v>
      </c>
    </row>
    <row r="219" spans="1:38" ht="12.75" customHeight="1" x14ac:dyDescent="0.35">
      <c r="A219" s="46" t="s">
        <v>526</v>
      </c>
      <c r="B219" s="38" t="s">
        <v>527</v>
      </c>
      <c r="C219" s="46" t="s">
        <v>526</v>
      </c>
      <c r="D219" s="22" t="s">
        <v>528</v>
      </c>
      <c r="E219" s="75">
        <f t="shared" si="45"/>
        <v>45944</v>
      </c>
      <c r="F219" s="75" t="s">
        <v>673</v>
      </c>
      <c r="G219" s="74">
        <f t="shared" si="46"/>
        <v>46309</v>
      </c>
      <c r="H219" s="19">
        <v>8.375</v>
      </c>
      <c r="I219" s="71" t="s">
        <v>19</v>
      </c>
      <c r="J219" s="2" t="s">
        <v>11</v>
      </c>
      <c r="K219" s="2" t="s">
        <v>751</v>
      </c>
      <c r="L219" s="2" t="s">
        <v>12</v>
      </c>
      <c r="M219" s="3">
        <v>1</v>
      </c>
      <c r="N219" s="3"/>
      <c r="O219" s="3">
        <v>0</v>
      </c>
      <c r="P219" s="39">
        <v>0</v>
      </c>
      <c r="Q219" s="84"/>
      <c r="R219" s="67">
        <v>1</v>
      </c>
      <c r="S219" s="67"/>
      <c r="T219" s="40"/>
      <c r="U219" s="87" t="s">
        <v>937</v>
      </c>
      <c r="V219" s="141" t="s">
        <v>936</v>
      </c>
      <c r="W219" s="46" t="s">
        <v>526</v>
      </c>
      <c r="Z219" t="b">
        <f t="shared" si="47"/>
        <v>1</v>
      </c>
      <c r="AA219" s="46" t="s">
        <v>526</v>
      </c>
      <c r="AB219" s="67">
        <f t="shared" si="54"/>
        <v>2.5000000000000001E-2</v>
      </c>
      <c r="AC219" s="151">
        <f t="shared" si="48"/>
        <v>5000</v>
      </c>
      <c r="AD219" s="152">
        <f ca="1">((Main!$C$4-E219)*(200000*(H219/100))/360)*0.025</f>
        <v>147.72569444444443</v>
      </c>
      <c r="AE219" s="152">
        <f t="shared" ca="1" si="49"/>
        <v>5147.7256944444443</v>
      </c>
      <c r="AF219" s="153">
        <f t="shared" ca="1" si="50"/>
        <v>18905.02261284722</v>
      </c>
      <c r="AH219" s="67">
        <f t="shared" si="55"/>
        <v>2.5770000000000001E-2</v>
      </c>
      <c r="AI219" s="151">
        <f t="shared" si="51"/>
        <v>5154</v>
      </c>
      <c r="AJ219">
        <f ca="1">((Main!$C$4-E219)*(200000*(H219/100))/360)*0.02577</f>
        <v>152.27564583333333</v>
      </c>
      <c r="AK219" s="152">
        <f t="shared" ca="1" si="52"/>
        <v>5306.2756458333333</v>
      </c>
      <c r="AL219" s="153">
        <f t="shared" ca="1" si="53"/>
        <v>19487.297309322916</v>
      </c>
    </row>
    <row r="220" spans="1:38" ht="12.75" customHeight="1" x14ac:dyDescent="0.35">
      <c r="A220" s="46" t="s">
        <v>895</v>
      </c>
      <c r="B220" s="38" t="s">
        <v>531</v>
      </c>
      <c r="C220" s="46" t="s">
        <v>895</v>
      </c>
      <c r="D220" s="22" t="s">
        <v>532</v>
      </c>
      <c r="E220" s="75">
        <f t="shared" si="45"/>
        <v>46032</v>
      </c>
      <c r="F220" s="75" t="s">
        <v>612</v>
      </c>
      <c r="G220" s="74">
        <f t="shared" si="46"/>
        <v>46397</v>
      </c>
      <c r="H220" s="19">
        <v>5.351</v>
      </c>
      <c r="I220" s="71" t="s">
        <v>19</v>
      </c>
      <c r="J220" s="73" t="s">
        <v>54</v>
      </c>
      <c r="K220" s="2" t="s">
        <v>759</v>
      </c>
      <c r="L220" s="48" t="s">
        <v>533</v>
      </c>
      <c r="M220" s="3">
        <v>0.55000000000000004</v>
      </c>
      <c r="N220" s="3"/>
      <c r="O220" s="3">
        <v>0.45</v>
      </c>
      <c r="P220" s="83">
        <f>M220*0.5</f>
        <v>0.27500000000000002</v>
      </c>
      <c r="Q220" s="86"/>
      <c r="R220" s="67">
        <v>0.45</v>
      </c>
      <c r="S220" s="67"/>
      <c r="T220" s="40" t="s">
        <v>548</v>
      </c>
      <c r="U220" s="87" t="s">
        <v>946</v>
      </c>
      <c r="V220" s="137" t="s">
        <v>947</v>
      </c>
      <c r="W220" s="46" t="s">
        <v>895</v>
      </c>
      <c r="Z220" t="b">
        <f t="shared" si="47"/>
        <v>1</v>
      </c>
      <c r="AA220" s="46" t="s">
        <v>895</v>
      </c>
      <c r="AB220" s="67">
        <f t="shared" si="54"/>
        <v>1.1250000000000001E-2</v>
      </c>
      <c r="AC220" s="151">
        <f t="shared" si="48"/>
        <v>2250.0000000000005</v>
      </c>
      <c r="AD220" s="152">
        <f ca="1">((Main!$C$4-E220)*(200000*(H220/100))/360)*0.025</f>
        <v>28.984583333333337</v>
      </c>
      <c r="AE220" s="152">
        <f t="shared" ca="1" si="49"/>
        <v>2278.9845833333338</v>
      </c>
      <c r="AF220" s="153">
        <f t="shared" ca="1" si="50"/>
        <v>8369.5708822916677</v>
      </c>
      <c r="AH220" s="67">
        <f t="shared" si="55"/>
        <v>1.1596500000000001E-2</v>
      </c>
      <c r="AI220" s="151">
        <f t="shared" si="51"/>
        <v>2319.3000000000002</v>
      </c>
      <c r="AJ220">
        <f ca="1">((Main!$C$4-E220)*(200000*(H220/100))/360)*0.02577</f>
        <v>29.877308500000005</v>
      </c>
      <c r="AK220" s="152">
        <f t="shared" ca="1" si="52"/>
        <v>2349.1773085</v>
      </c>
      <c r="AL220" s="153">
        <f t="shared" ca="1" si="53"/>
        <v>8627.3536654662494</v>
      </c>
    </row>
    <row r="221" spans="1:38" ht="12.75" customHeight="1" x14ac:dyDescent="0.35">
      <c r="A221" s="46" t="s">
        <v>896</v>
      </c>
      <c r="B221" s="38" t="s">
        <v>529</v>
      </c>
      <c r="C221" s="46" t="s">
        <v>896</v>
      </c>
      <c r="D221" s="22" t="s">
        <v>530</v>
      </c>
      <c r="E221" s="75">
        <f t="shared" si="45"/>
        <v>45990</v>
      </c>
      <c r="F221" s="75" t="s">
        <v>583</v>
      </c>
      <c r="G221" s="74">
        <f t="shared" si="46"/>
        <v>46355</v>
      </c>
      <c r="H221" s="19">
        <v>4</v>
      </c>
      <c r="I221" s="71" t="s">
        <v>19</v>
      </c>
      <c r="J221" s="2" t="s">
        <v>11</v>
      </c>
      <c r="K221" s="2" t="s">
        <v>751</v>
      </c>
      <c r="L221" s="2" t="s">
        <v>12</v>
      </c>
      <c r="M221" s="3">
        <v>1</v>
      </c>
      <c r="N221" s="3"/>
      <c r="O221" s="3">
        <v>0</v>
      </c>
      <c r="P221" s="3">
        <v>0</v>
      </c>
      <c r="Q221" s="84"/>
      <c r="R221" s="67">
        <v>1</v>
      </c>
      <c r="S221" s="67"/>
      <c r="T221" s="40"/>
      <c r="U221" s="87" t="s">
        <v>937</v>
      </c>
      <c r="V221" s="141" t="s">
        <v>936</v>
      </c>
      <c r="W221" s="46" t="s">
        <v>896</v>
      </c>
      <c r="Z221" t="b">
        <f t="shared" si="47"/>
        <v>1</v>
      </c>
      <c r="AA221" s="46" t="s">
        <v>896</v>
      </c>
      <c r="AB221" s="67">
        <f t="shared" si="54"/>
        <v>2.5000000000000001E-2</v>
      </c>
      <c r="AC221" s="151">
        <f t="shared" si="48"/>
        <v>5000</v>
      </c>
      <c r="AD221" s="152">
        <f ca="1">((Main!$C$4-E221)*(200000*(H221/100))/360)*0.025</f>
        <v>45</v>
      </c>
      <c r="AE221" s="152">
        <f t="shared" ca="1" si="49"/>
        <v>5045</v>
      </c>
      <c r="AF221" s="153">
        <f t="shared" ca="1" si="50"/>
        <v>18527.762500000001</v>
      </c>
      <c r="AH221" s="67">
        <f t="shared" si="55"/>
        <v>2.5770000000000001E-2</v>
      </c>
      <c r="AI221" s="151">
        <f t="shared" si="51"/>
        <v>5154</v>
      </c>
      <c r="AJ221">
        <f ca="1">((Main!$C$4-E221)*(200000*(H221/100))/360)*0.02577</f>
        <v>46.386000000000003</v>
      </c>
      <c r="AK221" s="152">
        <f t="shared" ca="1" si="52"/>
        <v>5200.3860000000004</v>
      </c>
      <c r="AL221" s="153">
        <f t="shared" ca="1" si="53"/>
        <v>19098.417584999999</v>
      </c>
    </row>
    <row r="222" spans="1:38" ht="12.75" customHeight="1" x14ac:dyDescent="0.35">
      <c r="A222" s="46" t="s">
        <v>897</v>
      </c>
      <c r="B222" s="38" t="s">
        <v>534</v>
      </c>
      <c r="C222" s="46" t="s">
        <v>897</v>
      </c>
      <c r="D222" s="22" t="s">
        <v>535</v>
      </c>
      <c r="E222" s="75">
        <f t="shared" si="45"/>
        <v>45981</v>
      </c>
      <c r="F222" s="75" t="s">
        <v>614</v>
      </c>
      <c r="G222" s="74">
        <f t="shared" si="46"/>
        <v>46346</v>
      </c>
      <c r="H222" s="19">
        <v>6.25</v>
      </c>
      <c r="I222" s="71" t="s">
        <v>19</v>
      </c>
      <c r="J222" s="2" t="s">
        <v>11</v>
      </c>
      <c r="K222" s="2" t="s">
        <v>751</v>
      </c>
      <c r="L222" s="2" t="s">
        <v>12</v>
      </c>
      <c r="M222" s="3">
        <v>1</v>
      </c>
      <c r="N222" s="3"/>
      <c r="O222" s="3">
        <v>0</v>
      </c>
      <c r="P222" s="39">
        <v>0</v>
      </c>
      <c r="Q222" s="84"/>
      <c r="R222" s="67">
        <v>1</v>
      </c>
      <c r="S222" s="67"/>
      <c r="T222" s="40"/>
      <c r="U222" s="87" t="s">
        <v>937</v>
      </c>
      <c r="V222" s="141" t="s">
        <v>936</v>
      </c>
      <c r="W222" s="46" t="s">
        <v>897</v>
      </c>
      <c r="Z222" t="b">
        <f t="shared" si="47"/>
        <v>1</v>
      </c>
      <c r="AA222" s="46" t="s">
        <v>897</v>
      </c>
      <c r="AB222" s="67">
        <f t="shared" si="54"/>
        <v>2.5000000000000001E-2</v>
      </c>
      <c r="AC222" s="151">
        <f t="shared" si="48"/>
        <v>5000</v>
      </c>
      <c r="AD222" s="152">
        <f ca="1">((Main!$C$4-E222)*(200000*(H222/100))/360)*0.025</f>
        <v>78.125</v>
      </c>
      <c r="AE222" s="152">
        <f t="shared" ca="1" si="49"/>
        <v>5078.125</v>
      </c>
      <c r="AF222" s="153">
        <f t="shared" ca="1" si="50"/>
        <v>18649.4140625</v>
      </c>
      <c r="AH222" s="67">
        <f t="shared" si="55"/>
        <v>2.5770000000000001E-2</v>
      </c>
      <c r="AI222" s="151">
        <f t="shared" si="51"/>
        <v>5154</v>
      </c>
      <c r="AJ222">
        <f ca="1">((Main!$C$4-E222)*(200000*(H222/100))/360)*0.02577</f>
        <v>80.53125</v>
      </c>
      <c r="AK222" s="152">
        <f t="shared" ca="1" si="52"/>
        <v>5234.53125</v>
      </c>
      <c r="AL222" s="153">
        <f t="shared" ca="1" si="53"/>
        <v>19223.816015624998</v>
      </c>
    </row>
    <row r="223" spans="1:38" ht="12.75" customHeight="1" thickBot="1" x14ac:dyDescent="0.4">
      <c r="A223" s="53" t="s">
        <v>488</v>
      </c>
      <c r="B223" s="54" t="s">
        <v>489</v>
      </c>
      <c r="C223" s="53" t="s">
        <v>488</v>
      </c>
      <c r="D223" s="28" t="s">
        <v>490</v>
      </c>
      <c r="E223" s="75">
        <f t="shared" si="45"/>
        <v>45973</v>
      </c>
      <c r="F223" s="75" t="s">
        <v>611</v>
      </c>
      <c r="G223" s="74">
        <f t="shared" si="46"/>
        <v>46338</v>
      </c>
      <c r="H223" s="19">
        <v>9.375</v>
      </c>
      <c r="I223" s="71" t="s">
        <v>19</v>
      </c>
      <c r="J223" s="81" t="s">
        <v>54</v>
      </c>
      <c r="K223" s="2" t="s">
        <v>759</v>
      </c>
      <c r="L223" s="82" t="s">
        <v>338</v>
      </c>
      <c r="M223" s="29">
        <v>0.55000000000000004</v>
      </c>
      <c r="N223" s="29"/>
      <c r="O223" s="29">
        <v>0.45</v>
      </c>
      <c r="P223" s="3">
        <f>M223</f>
        <v>0.55000000000000004</v>
      </c>
      <c r="Q223" s="84"/>
      <c r="R223" s="67">
        <v>0.45</v>
      </c>
      <c r="S223" s="103"/>
      <c r="T223" s="55" t="s">
        <v>548</v>
      </c>
      <c r="U223" s="87" t="s">
        <v>946</v>
      </c>
      <c r="V223" s="137" t="s">
        <v>947</v>
      </c>
      <c r="W223" s="53" t="s">
        <v>488</v>
      </c>
      <c r="Z223" t="b">
        <f t="shared" si="47"/>
        <v>1</v>
      </c>
      <c r="AA223" s="53" t="s">
        <v>488</v>
      </c>
      <c r="AB223" s="67">
        <f t="shared" si="54"/>
        <v>1.1250000000000001E-2</v>
      </c>
      <c r="AC223" s="151">
        <f t="shared" si="48"/>
        <v>2250.0000000000005</v>
      </c>
      <c r="AD223" s="152">
        <f ca="1">((Main!$C$4-E223)*(200000*(H223/100))/360)*0.025</f>
        <v>127.60416666666669</v>
      </c>
      <c r="AE223" s="152">
        <f t="shared" ca="1" si="49"/>
        <v>2377.604166666667</v>
      </c>
      <c r="AF223" s="153">
        <f t="shared" ca="1" si="50"/>
        <v>8731.7513020833339</v>
      </c>
      <c r="AH223" s="67">
        <f t="shared" si="55"/>
        <v>1.1596500000000001E-2</v>
      </c>
      <c r="AI223" s="151">
        <f t="shared" si="51"/>
        <v>2319.3000000000002</v>
      </c>
      <c r="AJ223">
        <f ca="1">((Main!$C$4-E223)*(200000*(H223/100))/360)*0.02577</f>
        <v>131.53437500000001</v>
      </c>
      <c r="AK223" s="152">
        <f t="shared" ca="1" si="52"/>
        <v>2450.8343750000004</v>
      </c>
      <c r="AL223" s="153">
        <f t="shared" ca="1" si="53"/>
        <v>9000.6892421875018</v>
      </c>
    </row>
    <row r="224" spans="1:38" ht="12.75" customHeight="1" x14ac:dyDescent="0.35">
      <c r="T224" s="40"/>
    </row>
    <row r="225" spans="2:31" x14ac:dyDescent="0.35">
      <c r="AD225" s="152" t="e">
        <f ca="1">Main!C48</f>
        <v>#N/A</v>
      </c>
    </row>
    <row r="226" spans="2:31" ht="15" thickBot="1" x14ac:dyDescent="0.4">
      <c r="AD226">
        <f>H194/100*200000/360</f>
        <v>23.055555555555557</v>
      </c>
    </row>
    <row r="227" spans="2:31" ht="15" thickBot="1" x14ac:dyDescent="0.4">
      <c r="K227" t="s">
        <v>735</v>
      </c>
      <c r="L227" s="155" t="s">
        <v>64</v>
      </c>
    </row>
    <row r="228" spans="2:31" ht="15" thickBot="1" x14ac:dyDescent="0.4">
      <c r="L228" s="156" t="s">
        <v>15</v>
      </c>
      <c r="AC228">
        <f>200000*0.49</f>
        <v>98000</v>
      </c>
      <c r="AD228" t="e">
        <f ca="1">AD226*AD225</f>
        <v>#N/A</v>
      </c>
    </row>
    <row r="229" spans="2:31" ht="15" thickBot="1" x14ac:dyDescent="0.4">
      <c r="B229">
        <f>4+5/8</f>
        <v>4.625</v>
      </c>
      <c r="L229" s="156" t="s">
        <v>45</v>
      </c>
      <c r="AC229">
        <f>AC228*0.025</f>
        <v>2450</v>
      </c>
      <c r="AD229" t="e">
        <f ca="1">AD228*0.025</f>
        <v>#N/A</v>
      </c>
      <c r="AE229" t="e">
        <f ca="1">AD229+AC229</f>
        <v>#N/A</v>
      </c>
    </row>
    <row r="230" spans="2:31" x14ac:dyDescent="0.35">
      <c r="K230" t="s">
        <v>740</v>
      </c>
      <c r="AC230" s="153" t="e">
        <f>Main!C62</f>
        <v>#N/A</v>
      </c>
      <c r="AE230" t="e">
        <f ca="1">Main!C69</f>
        <v>#N/A</v>
      </c>
    </row>
    <row r="233" spans="2:31" x14ac:dyDescent="0.35">
      <c r="K233" s="2" t="s">
        <v>759</v>
      </c>
    </row>
  </sheetData>
  <sheetProtection algorithmName="SHA-512" hashValue="Tmg1z7EGQrrmkDo9OOxvMeHrT5JQLzSdwFps6UU96mlBiDI4YnLh3Y+d7i3ISxkDhgw9vY5hJXl0sF7KYIzW6g==" saltValue="+ddM5dbXDk3fjZL5lI3qr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Main</vt:lpstr>
      <vt:lpstr>Zakat Report</vt:lpstr>
      <vt:lpstr>Sukuk Details</vt:lpstr>
      <vt:lpstr>Sheet2</vt:lpstr>
      <vt:lpstr>Sheet1</vt:lpstr>
      <vt:lpstr>'Zakat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Mohamed Bouya O. M. Fall</cp:lastModifiedBy>
  <cp:lastPrinted>2026-02-17T16:51:39Z</cp:lastPrinted>
  <dcterms:created xsi:type="dcterms:W3CDTF">2025-10-10T07:30:50Z</dcterms:created>
  <dcterms:modified xsi:type="dcterms:W3CDTF">2026-02-18T08:53:47Z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bbbdcb-cecc-46b0-b0fa-80a2cec35719_Enabled">
    <vt:lpwstr>true</vt:lpwstr>
  </property>
  <property fmtid="{D5CDD505-2E9C-101B-9397-08002B2CF9AE}" pid="3" name="MSIP_Label_86bbbdcb-cecc-46b0-b0fa-80a2cec35719_SetDate">
    <vt:lpwstr>2025-10-10T07:32:31Z</vt:lpwstr>
  </property>
  <property fmtid="{D5CDD505-2E9C-101B-9397-08002B2CF9AE}" pid="4" name="MSIP_Label_86bbbdcb-cecc-46b0-b0fa-80a2cec35719_Method">
    <vt:lpwstr>Standard</vt:lpwstr>
  </property>
  <property fmtid="{D5CDD505-2E9C-101B-9397-08002B2CF9AE}" pid="5" name="MSIP_Label_86bbbdcb-cecc-46b0-b0fa-80a2cec35719_Name">
    <vt:lpwstr>Internal</vt:lpwstr>
  </property>
  <property fmtid="{D5CDD505-2E9C-101B-9397-08002B2CF9AE}" pid="6" name="MSIP_Label_86bbbdcb-cecc-46b0-b0fa-80a2cec35719_SiteId">
    <vt:lpwstr>ff49c438-c469-4c10-96f6-61f54df41c9b</vt:lpwstr>
  </property>
  <property fmtid="{D5CDD505-2E9C-101B-9397-08002B2CF9AE}" pid="7" name="MSIP_Label_86bbbdcb-cecc-46b0-b0fa-80a2cec35719_ActionId">
    <vt:lpwstr>220526ed-23b8-4629-afc9-a5ad6d3de501</vt:lpwstr>
  </property>
  <property fmtid="{D5CDD505-2E9C-101B-9397-08002B2CF9AE}" pid="8" name="MSIP_Label_86bbbdcb-cecc-46b0-b0fa-80a2cec35719_ContentBits">
    <vt:lpwstr>2</vt:lpwstr>
  </property>
  <property fmtid="{D5CDD505-2E9C-101B-9397-08002B2CF9AE}" pid="9" name="MSIP_Label_86bbbdcb-cecc-46b0-b0fa-80a2cec35719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